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J:\2021\两会材料\财政\0128定稿\"/>
    </mc:Choice>
  </mc:AlternateContent>
  <xr:revisionPtr revIDLastSave="0" documentId="13_ncr:1_{9E7E0A41-1C24-4C70-BDFD-EA94B3DA689A}" xr6:coauthVersionLast="46" xr6:coauthVersionMax="46" xr10:uidLastSave="{00000000-0000-0000-0000-000000000000}"/>
  <bookViews>
    <workbookView xWindow="-120" yWindow="-120" windowWidth="21840" windowHeight="13140" tabRatio="796" firstSheet="12" activeTab="12" xr2:uid="{00000000-000D-0000-FFFF-FFFF00000000}"/>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 name="-36" sheetId="38" r:id="rId38"/>
    <sheet name="-37" sheetId="39" r:id="rId39"/>
    <sheet name="-38" sheetId="40" r:id="rId40"/>
    <sheet name="-39" sheetId="41" r:id="rId41"/>
    <sheet name="-40" sheetId="42" r:id="rId42"/>
    <sheet name="-41" sheetId="43" r:id="rId43"/>
    <sheet name="-42" sheetId="44" r:id="rId44"/>
  </sheets>
  <definedNames>
    <definedName name="_xlnm._FilterDatabase" localSheetId="10" hidden="1">'-9'!$A$3:$B$1514</definedName>
    <definedName name="_xlnm._FilterDatabase" localSheetId="1" hidden="1">目录!$A$1:$A$49</definedName>
    <definedName name="_xlnm.Print_Titles" localSheetId="2">'-1'!$3:3</definedName>
    <definedName name="_xlnm.Print_Titles" localSheetId="11">'-10'!$A:$A,'-10'!$3:$4</definedName>
    <definedName name="_xlnm.Print_Titles" localSheetId="12">'-11'!$A:A,'-11'!$3:4</definedName>
    <definedName name="_xlnm.Print_Titles" localSheetId="14">'-13'!$3:3</definedName>
    <definedName name="_xlnm.Print_Titles" localSheetId="4">'-3'!$3:3</definedName>
    <definedName name="_xlnm.Print_Titles" localSheetId="6">'-5'!$3:3</definedName>
    <definedName name="_xlnm.Print_Titles" localSheetId="8">'-7'!$3:3</definedName>
    <definedName name="_xlnm.Print_Titles" localSheetId="10">'-9'!$3:3</definedName>
  </definedNames>
  <calcPr calcId="181029" fullPrecision="0"/>
</workbook>
</file>

<file path=xl/calcChain.xml><?xml version="1.0" encoding="utf-8"?>
<calcChain xmlns="http://schemas.openxmlformats.org/spreadsheetml/2006/main">
  <c r="E8" i="33" l="1"/>
  <c r="E6" i="33"/>
  <c r="D4" i="18" l="1"/>
  <c r="D5" i="18"/>
  <c r="C4" i="44"/>
  <c r="B4" i="44"/>
  <c r="C4" i="43"/>
  <c r="B4" i="43"/>
  <c r="D11" i="42"/>
  <c r="C11" i="42" s="1"/>
  <c r="B11" i="42"/>
  <c r="D10" i="42"/>
  <c r="C10" i="42" s="1"/>
  <c r="B10" i="42"/>
  <c r="D9" i="42"/>
  <c r="C9" i="42" s="1"/>
  <c r="B9" i="42"/>
  <c r="D8" i="42"/>
  <c r="C8" i="42"/>
  <c r="B8" i="42"/>
  <c r="D7" i="42"/>
  <c r="C7" i="42"/>
  <c r="B7" i="42"/>
  <c r="D6" i="42"/>
  <c r="C6" i="42"/>
  <c r="B6" i="42"/>
  <c r="B5" i="42" s="1"/>
  <c r="G5" i="42"/>
  <c r="F5" i="42"/>
  <c r="D5" i="42" s="1"/>
  <c r="E5" i="42"/>
  <c r="B12" i="41"/>
  <c r="B10" i="41"/>
  <c r="B10" i="40"/>
  <c r="B12" i="40" s="1"/>
  <c r="B10" i="39"/>
  <c r="B12" i="39" s="1"/>
  <c r="B10" i="38"/>
  <c r="B12" i="38" s="1"/>
  <c r="F11" i="37"/>
  <c r="E11" i="37"/>
  <c r="D11" i="37"/>
  <c r="G11" i="37" s="1"/>
  <c r="C11" i="37"/>
  <c r="B11" i="37"/>
  <c r="G10" i="37"/>
  <c r="G9" i="37"/>
  <c r="G8" i="37"/>
  <c r="G7" i="37"/>
  <c r="G6" i="37"/>
  <c r="G5" i="37"/>
  <c r="F11" i="36"/>
  <c r="E11" i="36"/>
  <c r="D11" i="36"/>
  <c r="C11" i="36"/>
  <c r="B11" i="36"/>
  <c r="G11" i="36" s="1"/>
  <c r="G10" i="36"/>
  <c r="G9" i="36"/>
  <c r="G8" i="36"/>
  <c r="G7" i="36"/>
  <c r="G6" i="36"/>
  <c r="G5" i="36"/>
  <c r="I6" i="35"/>
  <c r="H6" i="35"/>
  <c r="G6" i="35"/>
  <c r="F6" i="35"/>
  <c r="E6" i="35"/>
  <c r="C6" i="35"/>
  <c r="D5" i="35"/>
  <c r="B5" i="35" s="1"/>
  <c r="D4" i="35"/>
  <c r="D6" i="35" s="1"/>
  <c r="B4" i="35"/>
  <c r="B6" i="35" s="1"/>
  <c r="D13" i="34"/>
  <c r="D12" i="34" s="1"/>
  <c r="B11" i="34"/>
  <c r="E10" i="34"/>
  <c r="D9" i="34"/>
  <c r="E9" i="34" s="1"/>
  <c r="C9" i="34"/>
  <c r="B9" i="34"/>
  <c r="C7" i="34"/>
  <c r="B7" i="34"/>
  <c r="D5" i="34"/>
  <c r="D4" i="34" s="1"/>
  <c r="C4" i="34"/>
  <c r="C11" i="34" s="1"/>
  <c r="B4" i="34"/>
  <c r="D9" i="33"/>
  <c r="D8" i="33"/>
  <c r="D12" i="33" s="1"/>
  <c r="C8" i="33"/>
  <c r="B8" i="33"/>
  <c r="D10" i="32"/>
  <c r="D9" i="32" s="1"/>
  <c r="D8" i="32"/>
  <c r="C8" i="32"/>
  <c r="B8" i="32"/>
  <c r="E6" i="32"/>
  <c r="D6" i="32"/>
  <c r="E4" i="32"/>
  <c r="D4" i="32"/>
  <c r="D9" i="31"/>
  <c r="D12" i="31" s="1"/>
  <c r="D8" i="31"/>
  <c r="E8" i="31" s="1"/>
  <c r="C8" i="31"/>
  <c r="B8" i="31"/>
  <c r="E6" i="31"/>
  <c r="F14" i="30"/>
  <c r="F13" i="30"/>
  <c r="F11" i="30"/>
  <c r="E11" i="30"/>
  <c r="D10" i="30"/>
  <c r="E10" i="30" s="1"/>
  <c r="C10" i="30"/>
  <c r="C12" i="30" s="1"/>
  <c r="B10" i="30"/>
  <c r="F10" i="30" s="1"/>
  <c r="B9" i="30"/>
  <c r="B12" i="30" s="1"/>
  <c r="B15" i="30" s="1"/>
  <c r="F7" i="30"/>
  <c r="D7" i="30"/>
  <c r="B7" i="30"/>
  <c r="F5" i="30"/>
  <c r="D4" i="30"/>
  <c r="F4" i="30" s="1"/>
  <c r="B4" i="30"/>
  <c r="F9" i="29"/>
  <c r="E9" i="29"/>
  <c r="F8" i="29"/>
  <c r="E8" i="29"/>
  <c r="F7" i="29"/>
  <c r="E7" i="29"/>
  <c r="D7" i="29"/>
  <c r="D10" i="29" s="1"/>
  <c r="C7" i="29"/>
  <c r="B7" i="29"/>
  <c r="G7" i="29" s="1"/>
  <c r="G5" i="29"/>
  <c r="F5" i="29"/>
  <c r="E5" i="29"/>
  <c r="F4" i="29"/>
  <c r="E4" i="29"/>
  <c r="F10" i="28"/>
  <c r="F9" i="28"/>
  <c r="E9" i="28"/>
  <c r="G8" i="28"/>
  <c r="F8" i="28"/>
  <c r="D8" i="28"/>
  <c r="E8" i="28" s="1"/>
  <c r="C8" i="28"/>
  <c r="B8" i="28"/>
  <c r="G6" i="28"/>
  <c r="F6" i="28"/>
  <c r="E6" i="28"/>
  <c r="F5" i="28"/>
  <c r="E5" i="28"/>
  <c r="F4" i="28"/>
  <c r="E4" i="28"/>
  <c r="F9" i="27"/>
  <c r="E9" i="27"/>
  <c r="F8" i="27"/>
  <c r="E8" i="27"/>
  <c r="D7" i="27"/>
  <c r="G7" i="27" s="1"/>
  <c r="C7" i="27"/>
  <c r="E7" i="27" s="1"/>
  <c r="B7" i="27"/>
  <c r="G5" i="27"/>
  <c r="F5" i="27"/>
  <c r="E5" i="27"/>
  <c r="F4" i="27"/>
  <c r="E4" i="27"/>
  <c r="H16" i="26"/>
  <c r="G16" i="26"/>
  <c r="D15" i="26"/>
  <c r="D14" i="26"/>
  <c r="B14" i="26"/>
  <c r="D13" i="26"/>
  <c r="B13" i="26" s="1"/>
  <c r="I12" i="26"/>
  <c r="H12" i="26"/>
  <c r="G12" i="26"/>
  <c r="F12" i="26"/>
  <c r="E12" i="26"/>
  <c r="E9" i="26" s="1"/>
  <c r="D9" i="26" s="1"/>
  <c r="D12" i="26"/>
  <c r="C12" i="26"/>
  <c r="B12" i="26" s="1"/>
  <c r="D11" i="26"/>
  <c r="B11" i="26" s="1"/>
  <c r="I10" i="26"/>
  <c r="H10" i="26"/>
  <c r="G10" i="26"/>
  <c r="F10" i="26"/>
  <c r="E10" i="26"/>
  <c r="D10" i="26" s="1"/>
  <c r="C10" i="26"/>
  <c r="I9" i="26"/>
  <c r="H9" i="26"/>
  <c r="G9" i="26"/>
  <c r="F9" i="26"/>
  <c r="C9" i="26"/>
  <c r="B9" i="26" s="1"/>
  <c r="D8" i="26"/>
  <c r="B8" i="26" s="1"/>
  <c r="D7" i="26"/>
  <c r="B7" i="26"/>
  <c r="D6" i="26"/>
  <c r="B6" i="26" s="1"/>
  <c r="I5" i="26"/>
  <c r="H5" i="26"/>
  <c r="G5" i="26"/>
  <c r="F5" i="26"/>
  <c r="E5" i="26"/>
  <c r="D5" i="26"/>
  <c r="C5" i="26"/>
  <c r="B5" i="26" s="1"/>
  <c r="I4" i="26"/>
  <c r="I16" i="26" s="1"/>
  <c r="H4" i="26"/>
  <c r="G4" i="26"/>
  <c r="F4" i="26"/>
  <c r="F16" i="26" s="1"/>
  <c r="E4" i="26"/>
  <c r="E16" i="26" s="1"/>
  <c r="D4" i="26"/>
  <c r="D16" i="26" s="1"/>
  <c r="C4" i="26"/>
  <c r="B4" i="26" s="1"/>
  <c r="B212" i="25"/>
  <c r="B195" i="25"/>
  <c r="B185" i="25"/>
  <c r="B184" i="25"/>
  <c r="B175" i="25"/>
  <c r="B171" i="25"/>
  <c r="B170" i="25" s="1"/>
  <c r="B167" i="25"/>
  <c r="B166" i="25" s="1"/>
  <c r="B162" i="25"/>
  <c r="B158" i="25"/>
  <c r="B155" i="25"/>
  <c r="B146" i="25"/>
  <c r="B139" i="25"/>
  <c r="B130" i="25"/>
  <c r="B125" i="25"/>
  <c r="B120" i="25"/>
  <c r="B115" i="25"/>
  <c r="B114" i="25" s="1"/>
  <c r="B109" i="25"/>
  <c r="B104" i="25"/>
  <c r="B99" i="25"/>
  <c r="B98" i="25" s="1"/>
  <c r="B89" i="25"/>
  <c r="B86" i="25"/>
  <c r="B80" i="25"/>
  <c r="B76" i="25"/>
  <c r="B72" i="25"/>
  <c r="B68" i="25"/>
  <c r="B62" i="25"/>
  <c r="B57" i="25"/>
  <c r="B46" i="25"/>
  <c r="B44" i="25" s="1"/>
  <c r="B43" i="25" s="1"/>
  <c r="B252" i="25" s="1"/>
  <c r="B38" i="25"/>
  <c r="B33" i="25"/>
  <c r="B32" i="25"/>
  <c r="B29" i="25"/>
  <c r="B25" i="25"/>
  <c r="B21" i="25"/>
  <c r="B20" i="25" s="1"/>
  <c r="B17" i="25"/>
  <c r="B11" i="25"/>
  <c r="B5" i="25"/>
  <c r="B4" i="25"/>
  <c r="D18" i="24"/>
  <c r="D16" i="24"/>
  <c r="D15" i="24" s="1"/>
  <c r="D14" i="24"/>
  <c r="C14" i="24"/>
  <c r="B14" i="24"/>
  <c r="E10" i="24"/>
  <c r="E6" i="24"/>
  <c r="D22" i="23"/>
  <c r="D21" i="23" s="1"/>
  <c r="D20" i="23"/>
  <c r="D24" i="23" s="1"/>
  <c r="C20" i="23"/>
  <c r="B20" i="23"/>
  <c r="E16" i="23"/>
  <c r="E15" i="23"/>
  <c r="E11" i="23"/>
  <c r="E10" i="23"/>
  <c r="E8" i="23"/>
  <c r="C14" i="22"/>
  <c r="B14" i="22"/>
  <c r="D11" i="22"/>
  <c r="E11" i="22" s="1"/>
  <c r="D10" i="22"/>
  <c r="D14" i="22" s="1"/>
  <c r="E6" i="22"/>
  <c r="D21" i="21"/>
  <c r="D20" i="21" s="1"/>
  <c r="D19" i="21"/>
  <c r="C19" i="21"/>
  <c r="B19" i="21"/>
  <c r="E16" i="21"/>
  <c r="E15" i="21"/>
  <c r="E11" i="21"/>
  <c r="E10" i="21"/>
  <c r="E8" i="21"/>
  <c r="C16" i="20"/>
  <c r="D16" i="20" s="1"/>
  <c r="B16" i="20"/>
  <c r="D14" i="20"/>
  <c r="D13" i="20"/>
  <c r="D12" i="20"/>
  <c r="D7" i="20"/>
  <c r="D18" i="19"/>
  <c r="F18" i="19" s="1"/>
  <c r="C18" i="19"/>
  <c r="B18" i="19"/>
  <c r="F16" i="19"/>
  <c r="F15" i="19"/>
  <c r="F11" i="19"/>
  <c r="F10" i="19"/>
  <c r="F8" i="19"/>
  <c r="B16" i="18"/>
  <c r="C15" i="18"/>
  <c r="C14" i="18"/>
  <c r="D14" i="18" s="1"/>
  <c r="C13" i="18"/>
  <c r="D13" i="18" s="1"/>
  <c r="C12" i="18"/>
  <c r="D12" i="18" s="1"/>
  <c r="C7" i="18"/>
  <c r="C16" i="18" s="1"/>
  <c r="D16" i="18" s="1"/>
  <c r="D18" i="17"/>
  <c r="F18" i="17" s="1"/>
  <c r="C18" i="17"/>
  <c r="B18" i="17"/>
  <c r="F16" i="17"/>
  <c r="F15" i="17"/>
  <c r="F11" i="17"/>
  <c r="F10" i="17"/>
  <c r="F8" i="17"/>
  <c r="B9" i="16"/>
  <c r="D8" i="16"/>
  <c r="D7" i="16"/>
  <c r="D6" i="16"/>
  <c r="C5" i="16"/>
  <c r="D5" i="16" s="1"/>
  <c r="F125" i="15"/>
  <c r="F124" i="15" s="1"/>
  <c r="D124" i="15" s="1"/>
  <c r="I124" i="15"/>
  <c r="H124" i="15"/>
  <c r="G124" i="15"/>
  <c r="E124" i="15"/>
  <c r="C124" i="15"/>
  <c r="D123" i="15"/>
  <c r="B123" i="15"/>
  <c r="D122" i="15"/>
  <c r="B122" i="15" s="1"/>
  <c r="D121" i="15"/>
  <c r="B121" i="15"/>
  <c r="D120" i="15"/>
  <c r="B120" i="15" s="1"/>
  <c r="I119" i="15"/>
  <c r="H119" i="15"/>
  <c r="D119" i="15" s="1"/>
  <c r="G119" i="15"/>
  <c r="F119" i="15"/>
  <c r="E119" i="15"/>
  <c r="C119" i="15"/>
  <c r="D118" i="15"/>
  <c r="B118" i="15"/>
  <c r="I117" i="15"/>
  <c r="H117" i="15"/>
  <c r="G117" i="15"/>
  <c r="F117" i="15"/>
  <c r="E117" i="15"/>
  <c r="D117" i="15" s="1"/>
  <c r="B117" i="15" s="1"/>
  <c r="C117" i="15"/>
  <c r="F116" i="15"/>
  <c r="D116" i="15"/>
  <c r="B116" i="15" s="1"/>
  <c r="I115" i="15"/>
  <c r="H115" i="15"/>
  <c r="G115" i="15"/>
  <c r="F115" i="15"/>
  <c r="E115" i="15"/>
  <c r="D115" i="15" s="1"/>
  <c r="C115" i="15"/>
  <c r="D114" i="15"/>
  <c r="B114" i="15" s="1"/>
  <c r="H113" i="15"/>
  <c r="G113" i="15"/>
  <c r="G112" i="15" s="1"/>
  <c r="E113" i="15"/>
  <c r="D113" i="15" s="1"/>
  <c r="C113" i="15"/>
  <c r="B113" i="15" s="1"/>
  <c r="I112" i="15"/>
  <c r="H112" i="15"/>
  <c r="F112" i="15"/>
  <c r="C112" i="15"/>
  <c r="D111" i="15"/>
  <c r="B111" i="15" s="1"/>
  <c r="D110" i="15"/>
  <c r="B110" i="15"/>
  <c r="I109" i="15"/>
  <c r="H109" i="15"/>
  <c r="G109" i="15"/>
  <c r="F109" i="15"/>
  <c r="E109" i="15"/>
  <c r="D109" i="15" s="1"/>
  <c r="B109" i="15" s="1"/>
  <c r="C109" i="15"/>
  <c r="D108" i="15"/>
  <c r="B108" i="15" s="1"/>
  <c r="D107" i="15"/>
  <c r="B107" i="15" s="1"/>
  <c r="D106" i="15"/>
  <c r="B106" i="15" s="1"/>
  <c r="I105" i="15"/>
  <c r="H105" i="15"/>
  <c r="G105" i="15"/>
  <c r="F105" i="15"/>
  <c r="E105" i="15"/>
  <c r="D105" i="15" s="1"/>
  <c r="C105" i="15"/>
  <c r="B105" i="15" s="1"/>
  <c r="D104" i="15"/>
  <c r="B104" i="15"/>
  <c r="D103" i="15"/>
  <c r="B103" i="15" s="1"/>
  <c r="D102" i="15"/>
  <c r="B102" i="15" s="1"/>
  <c r="D101" i="15"/>
  <c r="B101" i="15" s="1"/>
  <c r="D100" i="15"/>
  <c r="B100" i="15"/>
  <c r="I99" i="15"/>
  <c r="H99" i="15"/>
  <c r="G99" i="15"/>
  <c r="F99" i="15"/>
  <c r="E99" i="15"/>
  <c r="D99" i="15" s="1"/>
  <c r="B99" i="15" s="1"/>
  <c r="C99" i="15"/>
  <c r="H98" i="15"/>
  <c r="H95" i="15" s="1"/>
  <c r="D95" i="15" s="1"/>
  <c r="B95" i="15" s="1"/>
  <c r="G98" i="15"/>
  <c r="F98" i="15"/>
  <c r="E98" i="15"/>
  <c r="C98" i="15"/>
  <c r="D97" i="15"/>
  <c r="B97" i="15"/>
  <c r="I96" i="15"/>
  <c r="H96" i="15"/>
  <c r="G96" i="15"/>
  <c r="F96" i="15"/>
  <c r="E96" i="15"/>
  <c r="D96" i="15"/>
  <c r="C96" i="15"/>
  <c r="B96" i="15"/>
  <c r="I95" i="15"/>
  <c r="G95" i="15"/>
  <c r="F95" i="15"/>
  <c r="E95" i="15"/>
  <c r="C95" i="15"/>
  <c r="D94" i="15"/>
  <c r="B94" i="15"/>
  <c r="D93" i="15"/>
  <c r="B93" i="15"/>
  <c r="D92" i="15"/>
  <c r="B92" i="15"/>
  <c r="D91" i="15"/>
  <c r="B91" i="15"/>
  <c r="F90" i="15"/>
  <c r="D90" i="15"/>
  <c r="B90" i="15" s="1"/>
  <c r="F89" i="15"/>
  <c r="D89" i="15" s="1"/>
  <c r="B89" i="15" s="1"/>
  <c r="F88" i="15"/>
  <c r="F87" i="15" s="1"/>
  <c r="D87" i="15" s="1"/>
  <c r="D88" i="15"/>
  <c r="B88" i="15" s="1"/>
  <c r="I87" i="15"/>
  <c r="H87" i="15"/>
  <c r="G87" i="15"/>
  <c r="E87" i="15"/>
  <c r="C87" i="15"/>
  <c r="B87" i="15" s="1"/>
  <c r="F86" i="15"/>
  <c r="D86" i="15" s="1"/>
  <c r="B86" i="15" s="1"/>
  <c r="D85" i="15"/>
  <c r="B85" i="15"/>
  <c r="D84" i="15"/>
  <c r="B84" i="15"/>
  <c r="D83" i="15"/>
  <c r="B83" i="15"/>
  <c r="I82" i="15"/>
  <c r="H82" i="15"/>
  <c r="G82" i="15"/>
  <c r="F82" i="15"/>
  <c r="E82" i="15"/>
  <c r="D82" i="15"/>
  <c r="B82" i="15" s="1"/>
  <c r="C82" i="15"/>
  <c r="I81" i="15"/>
  <c r="G81" i="15"/>
  <c r="F81" i="15"/>
  <c r="E81" i="15"/>
  <c r="D81" i="15"/>
  <c r="C81" i="15"/>
  <c r="B81" i="15" s="1"/>
  <c r="D80" i="15"/>
  <c r="B80" i="15" s="1"/>
  <c r="D79" i="15"/>
  <c r="B79" i="15" s="1"/>
  <c r="D78" i="15"/>
  <c r="B78" i="15"/>
  <c r="F77" i="15"/>
  <c r="D77" i="15" s="1"/>
  <c r="B77" i="15" s="1"/>
  <c r="D76" i="15"/>
  <c r="B76" i="15" s="1"/>
  <c r="D75" i="15"/>
  <c r="B75" i="15"/>
  <c r="I74" i="15"/>
  <c r="I73" i="15" s="1"/>
  <c r="F74" i="15"/>
  <c r="D74" i="15" s="1"/>
  <c r="E74" i="15"/>
  <c r="C74" i="15"/>
  <c r="B74" i="15" s="1"/>
  <c r="H73" i="15"/>
  <c r="G73" i="15"/>
  <c r="F73" i="15"/>
  <c r="E73" i="15"/>
  <c r="D72" i="15"/>
  <c r="B72" i="15"/>
  <c r="D71" i="15"/>
  <c r="B71" i="15"/>
  <c r="D70" i="15"/>
  <c r="B70" i="15" s="1"/>
  <c r="D69" i="15"/>
  <c r="B69" i="15" s="1"/>
  <c r="D68" i="15"/>
  <c r="B68" i="15"/>
  <c r="D67" i="15"/>
  <c r="C67" i="15"/>
  <c r="B67" i="15" s="1"/>
  <c r="F66" i="15"/>
  <c r="D66" i="15"/>
  <c r="B66" i="15" s="1"/>
  <c r="D65" i="15"/>
  <c r="B65" i="15"/>
  <c r="I64" i="15"/>
  <c r="I61" i="15" s="1"/>
  <c r="H64" i="15"/>
  <c r="H61" i="15" s="1"/>
  <c r="G64" i="15"/>
  <c r="F64" i="15"/>
  <c r="E64" i="15"/>
  <c r="D64" i="15" s="1"/>
  <c r="B64" i="15" s="1"/>
  <c r="C64" i="15"/>
  <c r="F63" i="15"/>
  <c r="D63" i="15"/>
  <c r="B63" i="15" s="1"/>
  <c r="F62" i="15"/>
  <c r="D62" i="15"/>
  <c r="B62" i="15" s="1"/>
  <c r="G61" i="15"/>
  <c r="F61" i="15"/>
  <c r="E61" i="15"/>
  <c r="I60" i="15"/>
  <c r="F60" i="15"/>
  <c r="D60" i="15"/>
  <c r="C60" i="15"/>
  <c r="B60" i="15" s="1"/>
  <c r="D59" i="15"/>
  <c r="B59" i="15"/>
  <c r="D58" i="15"/>
  <c r="B58" i="15" s="1"/>
  <c r="D57" i="15"/>
  <c r="B57" i="15"/>
  <c r="D56" i="15"/>
  <c r="B56" i="15" s="1"/>
  <c r="D55" i="15"/>
  <c r="B55" i="15"/>
  <c r="D54" i="15"/>
  <c r="B54" i="15" s="1"/>
  <c r="F53" i="15"/>
  <c r="D53" i="15"/>
  <c r="B53" i="15"/>
  <c r="F52" i="15"/>
  <c r="D52" i="15" s="1"/>
  <c r="B52" i="15" s="1"/>
  <c r="I51" i="15"/>
  <c r="D51" i="15" s="1"/>
  <c r="B51" i="15" s="1"/>
  <c r="C51" i="15"/>
  <c r="D50" i="15"/>
  <c r="B50" i="15" s="1"/>
  <c r="D49" i="15"/>
  <c r="B49" i="15" s="1"/>
  <c r="D48" i="15"/>
  <c r="B48" i="15" s="1"/>
  <c r="I47" i="15"/>
  <c r="H47" i="15"/>
  <c r="G47" i="15"/>
  <c r="F47" i="15"/>
  <c r="E47" i="15"/>
  <c r="D47" i="15" s="1"/>
  <c r="F46" i="15"/>
  <c r="D46" i="15"/>
  <c r="B46" i="15"/>
  <c r="D45" i="15"/>
  <c r="B45" i="15"/>
  <c r="D44" i="15"/>
  <c r="B44" i="15"/>
  <c r="D43" i="15"/>
  <c r="B43" i="15"/>
  <c r="F42" i="15"/>
  <c r="F41" i="15" s="1"/>
  <c r="D42" i="15"/>
  <c r="B42" i="15" s="1"/>
  <c r="I41" i="15"/>
  <c r="H41" i="15"/>
  <c r="G41" i="15"/>
  <c r="E41" i="15"/>
  <c r="C41" i="15"/>
  <c r="D40" i="15"/>
  <c r="B40" i="15" s="1"/>
  <c r="D39" i="15"/>
  <c r="B39" i="15" s="1"/>
  <c r="I38" i="15"/>
  <c r="H38" i="15"/>
  <c r="G38" i="15"/>
  <c r="G4" i="15" s="1"/>
  <c r="F38" i="15"/>
  <c r="E38" i="15"/>
  <c r="D38" i="15" s="1"/>
  <c r="C38" i="15"/>
  <c r="D37" i="15"/>
  <c r="B37" i="15"/>
  <c r="D36" i="15"/>
  <c r="B36" i="15" s="1"/>
  <c r="D35" i="15"/>
  <c r="B35" i="15" s="1"/>
  <c r="F34" i="15"/>
  <c r="D34" i="15" s="1"/>
  <c r="B34" i="15" s="1"/>
  <c r="D33" i="15"/>
  <c r="B33" i="15"/>
  <c r="F32" i="15"/>
  <c r="D32" i="15"/>
  <c r="B32" i="15" s="1"/>
  <c r="I31" i="15"/>
  <c r="H31" i="15"/>
  <c r="G31" i="15"/>
  <c r="F31" i="15"/>
  <c r="E31" i="15"/>
  <c r="D31" i="15" s="1"/>
  <c r="C31" i="15"/>
  <c r="D30" i="15"/>
  <c r="B30" i="15" s="1"/>
  <c r="D29" i="15"/>
  <c r="B29" i="15"/>
  <c r="D28" i="15"/>
  <c r="B28" i="15" s="1"/>
  <c r="D27" i="15"/>
  <c r="B27" i="15" s="1"/>
  <c r="D26" i="15"/>
  <c r="B26" i="15" s="1"/>
  <c r="C26" i="15"/>
  <c r="I25" i="15"/>
  <c r="I4" i="15" s="1"/>
  <c r="H25" i="15"/>
  <c r="G25" i="15"/>
  <c r="F25" i="15"/>
  <c r="D25" i="15" s="1"/>
  <c r="E25" i="15"/>
  <c r="C25" i="15"/>
  <c r="D24" i="15"/>
  <c r="B24" i="15"/>
  <c r="D23" i="15"/>
  <c r="B23" i="15"/>
  <c r="I22" i="15"/>
  <c r="H22" i="15"/>
  <c r="G22" i="15"/>
  <c r="F22" i="15"/>
  <c r="E22" i="15"/>
  <c r="D22" i="15"/>
  <c r="C22" i="15"/>
  <c r="B22" i="15" s="1"/>
  <c r="D21" i="15"/>
  <c r="B21" i="15"/>
  <c r="D20" i="15"/>
  <c r="B20" i="15" s="1"/>
  <c r="D19" i="15"/>
  <c r="B19" i="15"/>
  <c r="D18" i="15"/>
  <c r="B18" i="15" s="1"/>
  <c r="D17" i="15"/>
  <c r="B17" i="15" s="1"/>
  <c r="D16" i="15"/>
  <c r="B16" i="15" s="1"/>
  <c r="D15" i="15"/>
  <c r="B15" i="15"/>
  <c r="D14" i="15"/>
  <c r="B14" i="15" s="1"/>
  <c r="D13" i="15"/>
  <c r="B13" i="15" s="1"/>
  <c r="D12" i="15"/>
  <c r="B12" i="15" s="1"/>
  <c r="D11" i="15"/>
  <c r="B11" i="15"/>
  <c r="D10" i="15"/>
  <c r="B10" i="15" s="1"/>
  <c r="D9" i="15"/>
  <c r="B9" i="15" s="1"/>
  <c r="D8" i="15"/>
  <c r="B8" i="15" s="1"/>
  <c r="D7" i="15"/>
  <c r="B7" i="15"/>
  <c r="D6" i="15"/>
  <c r="B6" i="15" s="1"/>
  <c r="I5" i="15"/>
  <c r="H5" i="15"/>
  <c r="G5" i="15"/>
  <c r="F5" i="15"/>
  <c r="E5" i="15"/>
  <c r="D5" i="15"/>
  <c r="C5" i="15"/>
  <c r="B5" i="15" s="1"/>
  <c r="D7" i="14"/>
  <c r="C7" i="14"/>
  <c r="B6" i="14"/>
  <c r="B7" i="14" s="1"/>
  <c r="B5" i="14"/>
  <c r="B4" i="14"/>
  <c r="W22" i="13"/>
  <c r="S22" i="13"/>
  <c r="H22" i="13"/>
  <c r="C22" i="13"/>
  <c r="W21" i="13"/>
  <c r="S21" i="13"/>
  <c r="H21" i="13"/>
  <c r="C21" i="13"/>
  <c r="W20" i="13"/>
  <c r="S20" i="13"/>
  <c r="H20" i="13"/>
  <c r="C20" i="13"/>
  <c r="W19" i="13"/>
  <c r="S19" i="13"/>
  <c r="H19" i="13"/>
  <c r="C19" i="13"/>
  <c r="W18" i="13"/>
  <c r="H18" i="13"/>
  <c r="C18" i="13"/>
  <c r="W17" i="13"/>
  <c r="H17" i="13"/>
  <c r="C17" i="13"/>
  <c r="W16" i="13"/>
  <c r="S16" i="13"/>
  <c r="H16" i="13"/>
  <c r="C16" i="13"/>
  <c r="W15" i="13"/>
  <c r="S15" i="13"/>
  <c r="H15" i="13"/>
  <c r="C15" i="13"/>
  <c r="W14" i="13"/>
  <c r="S14" i="13"/>
  <c r="H14" i="13"/>
  <c r="C14" i="13"/>
  <c r="W13" i="13"/>
  <c r="S13" i="13"/>
  <c r="H13" i="13"/>
  <c r="C13" i="13"/>
  <c r="W12" i="13"/>
  <c r="S12" i="13"/>
  <c r="H12" i="13"/>
  <c r="C12" i="13"/>
  <c r="W11" i="13"/>
  <c r="S11" i="13"/>
  <c r="H11" i="13"/>
  <c r="C11" i="13"/>
  <c r="W10" i="13"/>
  <c r="S10" i="13"/>
  <c r="H10" i="13"/>
  <c r="C10" i="13"/>
  <c r="W9" i="13"/>
  <c r="S9" i="13"/>
  <c r="H9" i="13"/>
  <c r="C9" i="13"/>
  <c r="W8" i="13"/>
  <c r="S8" i="13"/>
  <c r="H8" i="13"/>
  <c r="C8" i="13"/>
  <c r="W7" i="13"/>
  <c r="S7" i="13"/>
  <c r="H7" i="13"/>
  <c r="C7" i="13"/>
  <c r="W6" i="13"/>
  <c r="S6" i="13"/>
  <c r="H6" i="13"/>
  <c r="C6" i="13"/>
  <c r="AB5" i="13"/>
  <c r="AA5" i="13"/>
  <c r="Z5" i="13"/>
  <c r="Y5" i="13"/>
  <c r="X5" i="13"/>
  <c r="V5" i="13"/>
  <c r="U5" i="13"/>
  <c r="T5" i="13"/>
  <c r="R5" i="13"/>
  <c r="Q5" i="13"/>
  <c r="P5" i="13"/>
  <c r="O5" i="13"/>
  <c r="N5" i="13"/>
  <c r="M5" i="13"/>
  <c r="L5" i="13"/>
  <c r="K5" i="13"/>
  <c r="J5" i="13"/>
  <c r="I5" i="13"/>
  <c r="G5" i="13"/>
  <c r="F5" i="13"/>
  <c r="E5" i="13"/>
  <c r="D5" i="13"/>
  <c r="BG29" i="12"/>
  <c r="BB29" i="12"/>
  <c r="AY29" i="12"/>
  <c r="AS29" i="12"/>
  <c r="AO29" i="12"/>
  <c r="AL29" i="12"/>
  <c r="AH29" i="12"/>
  <c r="AA29" i="12"/>
  <c r="S29" i="12"/>
  <c r="H29" i="12"/>
  <c r="C29" i="12"/>
  <c r="B29" i="12" s="1"/>
  <c r="BG28" i="12"/>
  <c r="BB28" i="12"/>
  <c r="AY28" i="12"/>
  <c r="AS28" i="12"/>
  <c r="AO28" i="12"/>
  <c r="AL28" i="12"/>
  <c r="AH28" i="12"/>
  <c r="AA28" i="12"/>
  <c r="S28" i="12"/>
  <c r="H28" i="12"/>
  <c r="B28" i="12" s="1"/>
  <c r="C28" i="12"/>
  <c r="BK27" i="12"/>
  <c r="BG27" i="12"/>
  <c r="BB27" i="12"/>
  <c r="AY27" i="12"/>
  <c r="AS27" i="12"/>
  <c r="AO27" i="12"/>
  <c r="B27" i="12" s="1"/>
  <c r="AL27" i="12"/>
  <c r="AH27" i="12"/>
  <c r="AA27" i="12"/>
  <c r="S27" i="12"/>
  <c r="H27" i="12"/>
  <c r="C27" i="12"/>
  <c r="BG26" i="12"/>
  <c r="BB26" i="12"/>
  <c r="AY26" i="12"/>
  <c r="AS26" i="12"/>
  <c r="AO26" i="12"/>
  <c r="AL26" i="12"/>
  <c r="AH26" i="12"/>
  <c r="AA26" i="12"/>
  <c r="S26" i="12"/>
  <c r="H26" i="12"/>
  <c r="C26" i="12"/>
  <c r="B26" i="12" s="1"/>
  <c r="BG25" i="12"/>
  <c r="BB25" i="12"/>
  <c r="AY25" i="12"/>
  <c r="AS25" i="12"/>
  <c r="AO25" i="12"/>
  <c r="B25" i="12" s="1"/>
  <c r="AL25" i="12"/>
  <c r="AH25" i="12"/>
  <c r="AA25" i="12"/>
  <c r="S25" i="12"/>
  <c r="H25" i="12"/>
  <c r="C25" i="12"/>
  <c r="BK24" i="12"/>
  <c r="BG24" i="12" s="1"/>
  <c r="BB24" i="12"/>
  <c r="AY24" i="12"/>
  <c r="AS24" i="12"/>
  <c r="AO24" i="12"/>
  <c r="AL24" i="12"/>
  <c r="AH24" i="12"/>
  <c r="AA24" i="12"/>
  <c r="B24" i="12" s="1"/>
  <c r="S24" i="12"/>
  <c r="H24" i="12"/>
  <c r="C24" i="12"/>
  <c r="BK23" i="12"/>
  <c r="BG23" i="12" s="1"/>
  <c r="BB23" i="12"/>
  <c r="AY23" i="12"/>
  <c r="AS23" i="12"/>
  <c r="AO23" i="12"/>
  <c r="AL23" i="12"/>
  <c r="AH23" i="12"/>
  <c r="AA23" i="12"/>
  <c r="S23" i="12"/>
  <c r="H23" i="12"/>
  <c r="C23" i="12"/>
  <c r="BK22" i="12"/>
  <c r="BG22" i="12" s="1"/>
  <c r="BB22" i="12"/>
  <c r="AY22" i="12"/>
  <c r="AS22" i="12"/>
  <c r="AO22" i="12"/>
  <c r="AL22" i="12"/>
  <c r="AH22" i="12"/>
  <c r="AA22" i="12"/>
  <c r="S22" i="12"/>
  <c r="H22" i="12"/>
  <c r="C22" i="12"/>
  <c r="BG21" i="12"/>
  <c r="BB21" i="12"/>
  <c r="AY21" i="12"/>
  <c r="AS21" i="12"/>
  <c r="AO21" i="12"/>
  <c r="AL21" i="12"/>
  <c r="AH21" i="12"/>
  <c r="AA21" i="12"/>
  <c r="S21" i="12"/>
  <c r="H21" i="12"/>
  <c r="B21" i="12" s="1"/>
  <c r="C21" i="12"/>
  <c r="BK20" i="12"/>
  <c r="BG20" i="12"/>
  <c r="BB20" i="12"/>
  <c r="AY20" i="12"/>
  <c r="AS20" i="12"/>
  <c r="AL20" i="12"/>
  <c r="AH20" i="12"/>
  <c r="AA20" i="12"/>
  <c r="S20" i="12"/>
  <c r="H20" i="12"/>
  <c r="C20" i="12"/>
  <c r="B20" i="12" s="1"/>
  <c r="BG19" i="12"/>
  <c r="BB19" i="12"/>
  <c r="AY19" i="12"/>
  <c r="AS19" i="12"/>
  <c r="AL19" i="12"/>
  <c r="AH19" i="12"/>
  <c r="AA19" i="12"/>
  <c r="S19" i="12"/>
  <c r="H19" i="12"/>
  <c r="C19" i="12"/>
  <c r="B19" i="12" s="1"/>
  <c r="BG18" i="12"/>
  <c r="BB18" i="12"/>
  <c r="AY18" i="12"/>
  <c r="AS18" i="12"/>
  <c r="AL18" i="12"/>
  <c r="AH18" i="12"/>
  <c r="AA18" i="12"/>
  <c r="B18" i="12" s="1"/>
  <c r="S18" i="12"/>
  <c r="H18" i="12"/>
  <c r="C18" i="12"/>
  <c r="BK17" i="12"/>
  <c r="BG17" i="12" s="1"/>
  <c r="B17" i="12" s="1"/>
  <c r="BB17" i="12"/>
  <c r="AY17" i="12"/>
  <c r="AS17" i="12"/>
  <c r="AL17" i="12"/>
  <c r="AH17" i="12"/>
  <c r="AA17" i="12"/>
  <c r="S17" i="12"/>
  <c r="H17" i="12"/>
  <c r="C17" i="12"/>
  <c r="BK16" i="12"/>
  <c r="BG16" i="12"/>
  <c r="BB16" i="12"/>
  <c r="AY16" i="12"/>
  <c r="AS16" i="12"/>
  <c r="AL16" i="12"/>
  <c r="AH16" i="12"/>
  <c r="AA16" i="12"/>
  <c r="S16" i="12"/>
  <c r="H16" i="12"/>
  <c r="B16" i="12" s="1"/>
  <c r="C16" i="12"/>
  <c r="BK15" i="12"/>
  <c r="BG15" i="12" s="1"/>
  <c r="B15" i="12" s="1"/>
  <c r="BB15" i="12"/>
  <c r="AY15" i="12"/>
  <c r="AS15" i="12"/>
  <c r="AL15" i="12"/>
  <c r="AH15" i="12"/>
  <c r="AA15" i="12"/>
  <c r="S15" i="12"/>
  <c r="H15" i="12"/>
  <c r="C15" i="12"/>
  <c r="BG14" i="12"/>
  <c r="BB14" i="12"/>
  <c r="AY14" i="12"/>
  <c r="AS14" i="12"/>
  <c r="AL14" i="12"/>
  <c r="AH14" i="12"/>
  <c r="AA14" i="12"/>
  <c r="S14" i="12"/>
  <c r="H14" i="12"/>
  <c r="C14" i="12"/>
  <c r="B14" i="12" s="1"/>
  <c r="BK13" i="12"/>
  <c r="BG13" i="12" s="1"/>
  <c r="BB13" i="12"/>
  <c r="AY13" i="12"/>
  <c r="AS13" i="12"/>
  <c r="B13" i="12" s="1"/>
  <c r="AL13" i="12"/>
  <c r="AH13" i="12"/>
  <c r="AA13" i="12"/>
  <c r="S13" i="12"/>
  <c r="H13" i="12"/>
  <c r="C13" i="12"/>
  <c r="BK12" i="12"/>
  <c r="BG12" i="12" s="1"/>
  <c r="BB12" i="12"/>
  <c r="AY12" i="12"/>
  <c r="AS12" i="12"/>
  <c r="AL12" i="12"/>
  <c r="AH12" i="12"/>
  <c r="AA12" i="12"/>
  <c r="S12" i="12"/>
  <c r="H12" i="12"/>
  <c r="C12" i="12"/>
  <c r="BK11" i="12"/>
  <c r="BG11" i="12" s="1"/>
  <c r="BB11" i="12"/>
  <c r="AY11" i="12"/>
  <c r="AS11" i="12"/>
  <c r="B11" i="12" s="1"/>
  <c r="AL11" i="12"/>
  <c r="AH11" i="12"/>
  <c r="AA11" i="12"/>
  <c r="S11" i="12"/>
  <c r="H11" i="12"/>
  <c r="C11" i="12"/>
  <c r="BK10" i="12"/>
  <c r="BG10" i="12" s="1"/>
  <c r="BB10" i="12"/>
  <c r="AY10" i="12"/>
  <c r="AS10" i="12"/>
  <c r="AL10" i="12"/>
  <c r="AH10" i="12"/>
  <c r="AA10" i="12"/>
  <c r="S10" i="12"/>
  <c r="H10" i="12"/>
  <c r="C10" i="12"/>
  <c r="B10" i="12" s="1"/>
  <c r="BK9" i="12"/>
  <c r="BG9" i="12" s="1"/>
  <c r="BB9" i="12"/>
  <c r="AY9" i="12"/>
  <c r="AS9" i="12"/>
  <c r="B9" i="12" s="1"/>
  <c r="AL9" i="12"/>
  <c r="AH9" i="12"/>
  <c r="AA9" i="12"/>
  <c r="S9" i="12"/>
  <c r="H9" i="12"/>
  <c r="C9" i="12"/>
  <c r="BG8" i="12"/>
  <c r="BB8" i="12"/>
  <c r="AY8" i="12"/>
  <c r="AS8" i="12"/>
  <c r="AL8" i="12"/>
  <c r="AH8" i="12"/>
  <c r="AA8" i="12"/>
  <c r="S8" i="12"/>
  <c r="H8" i="12"/>
  <c r="B8" i="12" s="1"/>
  <c r="C8" i="12"/>
  <c r="BG7" i="12"/>
  <c r="BB7" i="12"/>
  <c r="AY7" i="12"/>
  <c r="AS7" i="12"/>
  <c r="AL7" i="12"/>
  <c r="AH7" i="12"/>
  <c r="AA7" i="12"/>
  <c r="S7" i="12"/>
  <c r="H7" i="12"/>
  <c r="C7" i="12"/>
  <c r="B7" i="12" s="1"/>
  <c r="BG6" i="12"/>
  <c r="BB6" i="12"/>
  <c r="AY6" i="12"/>
  <c r="AS6" i="12"/>
  <c r="AL6" i="12"/>
  <c r="AH6" i="12"/>
  <c r="AA6" i="12"/>
  <c r="S6" i="12"/>
  <c r="H6" i="12"/>
  <c r="C6" i="12"/>
  <c r="B6" i="12"/>
  <c r="BJ5" i="12"/>
  <c r="BI5" i="12"/>
  <c r="BH5" i="12"/>
  <c r="BF5" i="12"/>
  <c r="BE5" i="12"/>
  <c r="BD5" i="12"/>
  <c r="BC5" i="12"/>
  <c r="BB5" i="12" s="1"/>
  <c r="BA5" i="12"/>
  <c r="AZ5" i="12"/>
  <c r="AY5" i="12" s="1"/>
  <c r="AX5" i="12"/>
  <c r="AW5" i="12"/>
  <c r="AV5" i="12"/>
  <c r="AU5" i="12"/>
  <c r="AT5" i="12"/>
  <c r="AS5" i="12" s="1"/>
  <c r="AR5" i="12"/>
  <c r="AQ5" i="12"/>
  <c r="AP5" i="12"/>
  <c r="AO5" i="12"/>
  <c r="AN5" i="12"/>
  <c r="AM5" i="12"/>
  <c r="AL5" i="12" s="1"/>
  <c r="AK5" i="12"/>
  <c r="AJ5" i="12"/>
  <c r="AH5" i="12" s="1"/>
  <c r="AI5" i="12"/>
  <c r="AG5" i="12"/>
  <c r="AF5" i="12"/>
  <c r="AE5" i="12"/>
  <c r="AD5" i="12"/>
  <c r="AC5" i="12"/>
  <c r="AB5" i="12"/>
  <c r="AA5" i="12" s="1"/>
  <c r="Z5" i="12"/>
  <c r="Y5" i="12"/>
  <c r="X5" i="12"/>
  <c r="W5" i="12"/>
  <c r="V5" i="12"/>
  <c r="U5" i="12"/>
  <c r="T5" i="12"/>
  <c r="S5" i="12" s="1"/>
  <c r="R5" i="12"/>
  <c r="Q5" i="12"/>
  <c r="P5" i="12"/>
  <c r="O5" i="12"/>
  <c r="N5" i="12"/>
  <c r="M5" i="12"/>
  <c r="L5" i="12"/>
  <c r="K5" i="12"/>
  <c r="J5" i="12"/>
  <c r="I5" i="12"/>
  <c r="H5" i="12"/>
  <c r="G5" i="12"/>
  <c r="F5" i="12"/>
  <c r="E5" i="12"/>
  <c r="D5" i="12"/>
  <c r="C5" i="12" s="1"/>
  <c r="C1264" i="11"/>
  <c r="C1262" i="11" s="1"/>
  <c r="B1264" i="11"/>
  <c r="B1262" i="11" s="1"/>
  <c r="D1260" i="11"/>
  <c r="C1260" i="11"/>
  <c r="B1260" i="11"/>
  <c r="D1255" i="11"/>
  <c r="D1254" i="11" s="1"/>
  <c r="C1255" i="11"/>
  <c r="C1254" i="11" s="1"/>
  <c r="B1255" i="11"/>
  <c r="B1254" i="11"/>
  <c r="C1248" i="11"/>
  <c r="B1248" i="11"/>
  <c r="D1244" i="11"/>
  <c r="C1244" i="11"/>
  <c r="B1244" i="11"/>
  <c r="D1231" i="11"/>
  <c r="C1231" i="11"/>
  <c r="B1231" i="11"/>
  <c r="D1223" i="11"/>
  <c r="D1198" i="11" s="1"/>
  <c r="C1223" i="11"/>
  <c r="B1223" i="11"/>
  <c r="D1217" i="11"/>
  <c r="C1217" i="11"/>
  <c r="B1217" i="11"/>
  <c r="D1211" i="11"/>
  <c r="C1211" i="11"/>
  <c r="B1211" i="11"/>
  <c r="B1210" i="11"/>
  <c r="B1199" i="11" s="1"/>
  <c r="B1198" i="11" s="1"/>
  <c r="C1199" i="11"/>
  <c r="C1198" i="11" s="1"/>
  <c r="C1185" i="11"/>
  <c r="B1185" i="11"/>
  <c r="B1154" i="11" s="1"/>
  <c r="D1179" i="11"/>
  <c r="C1179" i="11"/>
  <c r="B1179" i="11"/>
  <c r="D1173" i="11"/>
  <c r="C1173" i="11"/>
  <c r="B1173" i="11"/>
  <c r="D1155" i="11"/>
  <c r="D1154" i="11" s="1"/>
  <c r="C1155" i="11"/>
  <c r="C1154" i="11" s="1"/>
  <c r="B1155" i="11"/>
  <c r="D1150" i="11"/>
  <c r="C1150" i="11"/>
  <c r="B1150" i="11"/>
  <c r="D1146" i="11"/>
  <c r="D1134" i="11" s="1"/>
  <c r="C1146" i="11"/>
  <c r="B1146" i="11"/>
  <c r="C1135" i="11"/>
  <c r="C1134" i="11" s="1"/>
  <c r="B1135" i="11"/>
  <c r="B1134" i="11"/>
  <c r="D1118" i="11"/>
  <c r="D1090" i="11" s="1"/>
  <c r="C1118" i="11"/>
  <c r="B1118" i="11"/>
  <c r="D1117" i="11"/>
  <c r="B1117" i="11"/>
  <c r="D1091" i="11"/>
  <c r="C1091" i="11"/>
  <c r="B1091" i="11"/>
  <c r="B1090" i="11" s="1"/>
  <c r="C1090" i="11"/>
  <c r="D1077" i="11"/>
  <c r="C1077" i="11"/>
  <c r="B1077" i="11"/>
  <c r="D1074" i="11"/>
  <c r="C1074" i="11"/>
  <c r="B1074" i="11"/>
  <c r="B1073" i="11"/>
  <c r="B1068" i="11" s="1"/>
  <c r="C1068" i="11"/>
  <c r="D1058" i="11"/>
  <c r="C1058" i="11"/>
  <c r="B1058" i="11"/>
  <c r="D1051" i="11"/>
  <c r="D1050" i="11" s="1"/>
  <c r="C1051" i="11"/>
  <c r="C1050" i="11" s="1"/>
  <c r="B1051" i="11"/>
  <c r="B1050" i="11" s="1"/>
  <c r="D1047" i="11"/>
  <c r="C1047" i="11"/>
  <c r="B1047" i="11"/>
  <c r="C1041" i="11"/>
  <c r="B1041" i="11"/>
  <c r="B1040" i="11"/>
  <c r="C1031" i="11"/>
  <c r="C1030" i="11" s="1"/>
  <c r="B1031" i="11"/>
  <c r="D1030" i="11"/>
  <c r="B1030" i="11"/>
  <c r="D1024" i="11"/>
  <c r="C1024" i="11"/>
  <c r="B1024" i="11"/>
  <c r="B1021" i="11"/>
  <c r="C1016" i="11"/>
  <c r="B1016" i="11"/>
  <c r="D1009" i="11"/>
  <c r="C1009" i="11"/>
  <c r="B1009" i="11"/>
  <c r="B966" i="11" s="1"/>
  <c r="D998" i="11"/>
  <c r="C998" i="11"/>
  <c r="B998" i="11"/>
  <c r="D993" i="11"/>
  <c r="C993" i="11"/>
  <c r="B993" i="11"/>
  <c r="D977" i="11"/>
  <c r="C977" i="11"/>
  <c r="B977" i="11"/>
  <c r="D967" i="11"/>
  <c r="D966" i="11" s="1"/>
  <c r="C967" i="11"/>
  <c r="C966" i="11" s="1"/>
  <c r="B967" i="11"/>
  <c r="D963" i="11"/>
  <c r="D902" i="11" s="1"/>
  <c r="C963" i="11"/>
  <c r="B963" i="11"/>
  <c r="C958" i="11"/>
  <c r="B958" i="11"/>
  <c r="D951" i="11"/>
  <c r="C951" i="11"/>
  <c r="B951" i="11"/>
  <c r="C946" i="11"/>
  <c r="B946" i="11"/>
  <c r="D936" i="11"/>
  <c r="C936" i="11"/>
  <c r="B936" i="11"/>
  <c r="D926" i="11"/>
  <c r="C926" i="11"/>
  <c r="B926" i="11"/>
  <c r="C903" i="11"/>
  <c r="C902" i="11" s="1"/>
  <c r="B903" i="11"/>
  <c r="B902" i="11" s="1"/>
  <c r="D899" i="11"/>
  <c r="C899" i="11"/>
  <c r="B899" i="11"/>
  <c r="D896" i="11"/>
  <c r="D791" i="11" s="1"/>
  <c r="C896" i="11"/>
  <c r="B896" i="11"/>
  <c r="C889" i="11"/>
  <c r="B889" i="11"/>
  <c r="D882" i="11"/>
  <c r="C882" i="11"/>
  <c r="B882" i="11"/>
  <c r="B881" i="11"/>
  <c r="B871" i="11" s="1"/>
  <c r="C871" i="11"/>
  <c r="B870" i="11"/>
  <c r="C843" i="11"/>
  <c r="B843" i="11"/>
  <c r="B842" i="11"/>
  <c r="C818" i="11"/>
  <c r="B818" i="11"/>
  <c r="B817" i="11"/>
  <c r="B792" i="11" s="1"/>
  <c r="B791" i="11" s="1"/>
  <c r="C792" i="11"/>
  <c r="C791" i="11" s="1"/>
  <c r="B790" i="11"/>
  <c r="B787" i="11"/>
  <c r="B785" i="11" s="1"/>
  <c r="B772" i="11" s="1"/>
  <c r="C785" i="11"/>
  <c r="D773" i="11"/>
  <c r="D772" i="11" s="1"/>
  <c r="C773" i="11"/>
  <c r="B773" i="11"/>
  <c r="C772" i="11"/>
  <c r="D771" i="11"/>
  <c r="B771" i="11" s="1"/>
  <c r="D756" i="11"/>
  <c r="C756" i="11"/>
  <c r="B756" i="11"/>
  <c r="D748" i="11"/>
  <c r="C748" i="11"/>
  <c r="B748" i="11"/>
  <c r="D743" i="11"/>
  <c r="C743" i="11"/>
  <c r="B743" i="11"/>
  <c r="D740" i="11"/>
  <c r="C740" i="11"/>
  <c r="B740" i="11"/>
  <c r="D734" i="11"/>
  <c r="D698" i="11" s="1"/>
  <c r="C734" i="11"/>
  <c r="B734" i="11"/>
  <c r="D727" i="11"/>
  <c r="C727" i="11"/>
  <c r="B727" i="11"/>
  <c r="D722" i="11"/>
  <c r="C722" i="11"/>
  <c r="B722" i="11"/>
  <c r="B721" i="11"/>
  <c r="B713" i="11" s="1"/>
  <c r="C713" i="11"/>
  <c r="D709" i="11"/>
  <c r="C709" i="11"/>
  <c r="B709" i="11"/>
  <c r="D699" i="11"/>
  <c r="C699" i="11"/>
  <c r="C698" i="11" s="1"/>
  <c r="B699" i="11"/>
  <c r="B698" i="11" s="1"/>
  <c r="B697" i="11"/>
  <c r="B695" i="11"/>
  <c r="C687" i="11"/>
  <c r="B687" i="11"/>
  <c r="D684" i="11"/>
  <c r="C684" i="11"/>
  <c r="B684" i="11"/>
  <c r="D680" i="11"/>
  <c r="C680" i="11"/>
  <c r="B680" i="11"/>
  <c r="B678" i="11"/>
  <c r="C676" i="11"/>
  <c r="B676" i="11"/>
  <c r="D671" i="11"/>
  <c r="C671" i="11"/>
  <c r="B671" i="11"/>
  <c r="D667" i="11"/>
  <c r="C667" i="11"/>
  <c r="B667" i="11"/>
  <c r="B666" i="11"/>
  <c r="B664" i="11" s="1"/>
  <c r="C664" i="11"/>
  <c r="C628" i="11" s="1"/>
  <c r="B663" i="11"/>
  <c r="B652" i="11" s="1"/>
  <c r="C652" i="11"/>
  <c r="B651" i="11"/>
  <c r="C648" i="11"/>
  <c r="B648" i="11"/>
  <c r="B647" i="11"/>
  <c r="B634" i="11" s="1"/>
  <c r="C634" i="11"/>
  <c r="D629" i="11"/>
  <c r="D628" i="11" s="1"/>
  <c r="C629" i="11"/>
  <c r="B629" i="11"/>
  <c r="B627" i="11"/>
  <c r="D624" i="11"/>
  <c r="C624" i="11"/>
  <c r="B624" i="11"/>
  <c r="D616" i="11"/>
  <c r="C616" i="11"/>
  <c r="B616" i="11"/>
  <c r="D612" i="11"/>
  <c r="C612" i="11"/>
  <c r="B612" i="11"/>
  <c r="B610" i="11"/>
  <c r="C608" i="11"/>
  <c r="B608" i="11"/>
  <c r="D605" i="11"/>
  <c r="C605" i="11"/>
  <c r="B605" i="11"/>
  <c r="D602" i="11"/>
  <c r="C602" i="11"/>
  <c r="B602" i="11"/>
  <c r="D599" i="11"/>
  <c r="C599" i="11"/>
  <c r="B599" i="11"/>
  <c r="D596" i="11"/>
  <c r="D503" i="11" s="1"/>
  <c r="C596" i="11"/>
  <c r="B596" i="11"/>
  <c r="D593" i="11"/>
  <c r="C593" i="11"/>
  <c r="B593" i="11"/>
  <c r="D588" i="11"/>
  <c r="C588" i="11"/>
  <c r="B588" i="11"/>
  <c r="B587" i="11"/>
  <c r="B579" i="11" s="1"/>
  <c r="C579" i="11"/>
  <c r="B578" i="11"/>
  <c r="C571" i="11"/>
  <c r="B571" i="11"/>
  <c r="C564" i="11"/>
  <c r="B564" i="11"/>
  <c r="B563" i="11"/>
  <c r="B556" i="11" s="1"/>
  <c r="C556" i="11"/>
  <c r="B555" i="11"/>
  <c r="C546" i="11"/>
  <c r="B546" i="11"/>
  <c r="D542" i="11"/>
  <c r="C542" i="11"/>
  <c r="C503" i="11" s="1"/>
  <c r="B542" i="11"/>
  <c r="B534" i="11"/>
  <c r="D533" i="11"/>
  <c r="C533" i="11"/>
  <c r="B533" i="11"/>
  <c r="D523" i="11"/>
  <c r="C523" i="11"/>
  <c r="B523" i="11"/>
  <c r="B522" i="11"/>
  <c r="B504" i="11" s="1"/>
  <c r="B503" i="11" s="1"/>
  <c r="C504" i="11"/>
  <c r="B502" i="11"/>
  <c r="C499" i="11"/>
  <c r="B499" i="11"/>
  <c r="C497" i="11"/>
  <c r="B497" i="11"/>
  <c r="C491" i="11"/>
  <c r="B491" i="11"/>
  <c r="D482" i="11"/>
  <c r="C482" i="11"/>
  <c r="B482" i="11"/>
  <c r="B481" i="11"/>
  <c r="B471" i="11" s="1"/>
  <c r="C471" i="11"/>
  <c r="C463" i="11"/>
  <c r="B463" i="11"/>
  <c r="C447" i="11"/>
  <c r="B447" i="11"/>
  <c r="B446" i="11" s="1"/>
  <c r="D446" i="11"/>
  <c r="C446" i="11"/>
  <c r="D441" i="11"/>
  <c r="C441" i="11"/>
  <c r="B441" i="11"/>
  <c r="D437" i="11"/>
  <c r="C437" i="11"/>
  <c r="B437" i="11"/>
  <c r="D433" i="11"/>
  <c r="C433" i="11"/>
  <c r="B433" i="11"/>
  <c r="C426" i="11"/>
  <c r="B426" i="11"/>
  <c r="D421" i="11"/>
  <c r="C421" i="11"/>
  <c r="B421" i="11"/>
  <c r="D416" i="11"/>
  <c r="D390" i="11" s="1"/>
  <c r="C416" i="11"/>
  <c r="B416" i="11"/>
  <c r="D411" i="11"/>
  <c r="C411" i="11"/>
  <c r="B411" i="11"/>
  <c r="D405" i="11"/>
  <c r="C405" i="11"/>
  <c r="B405" i="11"/>
  <c r="B390" i="11" s="1"/>
  <c r="D396" i="11"/>
  <c r="C396" i="11"/>
  <c r="B396" i="11"/>
  <c r="D391" i="11"/>
  <c r="C391" i="11"/>
  <c r="B391" i="11"/>
  <c r="C390" i="11"/>
  <c r="D382" i="11"/>
  <c r="C382" i="11"/>
  <c r="B382" i="11"/>
  <c r="D376" i="11"/>
  <c r="C376" i="11"/>
  <c r="B376" i="11"/>
  <c r="C372" i="11"/>
  <c r="B372" i="11"/>
  <c r="D368" i="11"/>
  <c r="C368" i="11"/>
  <c r="B368" i="11"/>
  <c r="D364" i="11"/>
  <c r="C364" i="11"/>
  <c r="B364" i="11"/>
  <c r="D358" i="11"/>
  <c r="D339" i="11" s="1"/>
  <c r="C358" i="11"/>
  <c r="B358" i="11"/>
  <c r="B357" i="11"/>
  <c r="C352" i="11"/>
  <c r="B352" i="11"/>
  <c r="B351" i="11"/>
  <c r="C345" i="11"/>
  <c r="B345" i="11"/>
  <c r="D340" i="11"/>
  <c r="C340" i="11"/>
  <c r="C339" i="11" s="1"/>
  <c r="B340" i="11"/>
  <c r="B339" i="11" s="1"/>
  <c r="C336" i="11"/>
  <c r="B336" i="11"/>
  <c r="D330" i="11"/>
  <c r="C330" i="11"/>
  <c r="B330" i="11"/>
  <c r="D322" i="11"/>
  <c r="C322" i="11"/>
  <c r="B322" i="11"/>
  <c r="D312" i="11"/>
  <c r="D249" i="11" s="1"/>
  <c r="C312" i="11"/>
  <c r="B312" i="11"/>
  <c r="D302" i="11"/>
  <c r="C302" i="11"/>
  <c r="B302" i="11"/>
  <c r="B301" i="11"/>
  <c r="C288" i="11"/>
  <c r="B288" i="11"/>
  <c r="B287" i="11"/>
  <c r="B279" i="11" s="1"/>
  <c r="C279" i="11"/>
  <c r="B278" i="11"/>
  <c r="B271" i="11" s="1"/>
  <c r="C271" i="11"/>
  <c r="D264" i="11"/>
  <c r="C264" i="11"/>
  <c r="B264" i="11"/>
  <c r="D263" i="11"/>
  <c r="B263" i="11"/>
  <c r="B253" i="11" s="1"/>
  <c r="D253" i="11"/>
  <c r="C253" i="11"/>
  <c r="D250" i="11"/>
  <c r="C250" i="11"/>
  <c r="C249" i="11" s="1"/>
  <c r="B250" i="11"/>
  <c r="C238" i="11"/>
  <c r="B238" i="11"/>
  <c r="D237" i="11"/>
  <c r="C237" i="11"/>
  <c r="B237" i="11"/>
  <c r="D233" i="11"/>
  <c r="C233" i="11"/>
  <c r="B233" i="11"/>
  <c r="B232" i="11"/>
  <c r="B230" i="11" s="1"/>
  <c r="C230" i="11"/>
  <c r="B229" i="11"/>
  <c r="B215" i="11" s="1"/>
  <c r="C215" i="11"/>
  <c r="D208" i="11"/>
  <c r="C208" i="11"/>
  <c r="B208" i="11"/>
  <c r="D202" i="11"/>
  <c r="C202" i="11"/>
  <c r="B202" i="11"/>
  <c r="D196" i="11"/>
  <c r="C196" i="11"/>
  <c r="B196" i="11"/>
  <c r="D188" i="11"/>
  <c r="C188" i="11"/>
  <c r="B188" i="11"/>
  <c r="D181" i="11"/>
  <c r="C181" i="11"/>
  <c r="B181" i="11"/>
  <c r="D174" i="11"/>
  <c r="C174" i="11"/>
  <c r="B174" i="11"/>
  <c r="D167" i="11"/>
  <c r="C167" i="11"/>
  <c r="B167" i="11"/>
  <c r="B166" i="11"/>
  <c r="B160" i="11" s="1"/>
  <c r="C160" i="11"/>
  <c r="D153" i="11"/>
  <c r="C153" i="11"/>
  <c r="B153" i="11"/>
  <c r="D147" i="11"/>
  <c r="C147" i="11"/>
  <c r="B147" i="11"/>
  <c r="D139" i="11"/>
  <c r="C139" i="11"/>
  <c r="B139" i="11"/>
  <c r="D132" i="11"/>
  <c r="C132" i="11"/>
  <c r="B132" i="11"/>
  <c r="C120" i="11"/>
  <c r="B120" i="11"/>
  <c r="B119" i="11"/>
  <c r="B109" i="11" s="1"/>
  <c r="C109" i="11"/>
  <c r="B108" i="11"/>
  <c r="C100" i="11"/>
  <c r="B100" i="11"/>
  <c r="D87" i="11"/>
  <c r="C87" i="11"/>
  <c r="D78" i="11"/>
  <c r="C78" i="11"/>
  <c r="B78" i="11"/>
  <c r="D70" i="11"/>
  <c r="C70" i="11"/>
  <c r="B70" i="11"/>
  <c r="D59" i="11"/>
  <c r="C59" i="11"/>
  <c r="B59" i="11"/>
  <c r="D48" i="11"/>
  <c r="C48" i="11"/>
  <c r="B48" i="11"/>
  <c r="D37" i="11"/>
  <c r="C37" i="11"/>
  <c r="B37" i="11"/>
  <c r="D26" i="11"/>
  <c r="C26" i="11"/>
  <c r="C4" i="11" s="1"/>
  <c r="B26" i="11"/>
  <c r="D17" i="11"/>
  <c r="C17" i="11"/>
  <c r="B17" i="11"/>
  <c r="D5" i="11"/>
  <c r="C5" i="11"/>
  <c r="B5" i="11"/>
  <c r="D4" i="11"/>
  <c r="B30" i="10"/>
  <c r="B21" i="10"/>
  <c r="B13" i="10"/>
  <c r="B29" i="10" s="1"/>
  <c r="B35" i="10" s="1"/>
  <c r="C37" i="9"/>
  <c r="C34" i="9"/>
  <c r="C30" i="9"/>
  <c r="C29" i="9"/>
  <c r="D27" i="9"/>
  <c r="D26" i="9"/>
  <c r="D24" i="9"/>
  <c r="D22" i="9"/>
  <c r="D21" i="9"/>
  <c r="D20" i="9"/>
  <c r="C19" i="9"/>
  <c r="D19" i="9" s="1"/>
  <c r="B19" i="9"/>
  <c r="D17" i="9"/>
  <c r="D15" i="9"/>
  <c r="D14" i="9"/>
  <c r="D13" i="9"/>
  <c r="D12" i="9"/>
  <c r="D11" i="9"/>
  <c r="D10" i="9"/>
  <c r="D9" i="9"/>
  <c r="D8" i="9"/>
  <c r="D7" i="9"/>
  <c r="D6" i="9"/>
  <c r="D5" i="9"/>
  <c r="C4" i="9"/>
  <c r="D4" i="9" s="1"/>
  <c r="B4" i="9"/>
  <c r="B28" i="9" s="1"/>
  <c r="C29" i="8"/>
  <c r="B28" i="8"/>
  <c r="D26" i="8"/>
  <c r="D25" i="8"/>
  <c r="D24" i="8"/>
  <c r="D23" i="8"/>
  <c r="D22" i="8"/>
  <c r="D21" i="8"/>
  <c r="C20" i="8"/>
  <c r="D20" i="8" s="1"/>
  <c r="D18" i="8"/>
  <c r="D17" i="8"/>
  <c r="D16" i="8"/>
  <c r="D15" i="8"/>
  <c r="D14" i="8"/>
  <c r="D13" i="8"/>
  <c r="C13" i="8"/>
  <c r="D12" i="8"/>
  <c r="C12" i="8"/>
  <c r="D11" i="8"/>
  <c r="D10" i="8"/>
  <c r="D9" i="8"/>
  <c r="D8" i="8"/>
  <c r="D7" i="8"/>
  <c r="D6" i="8"/>
  <c r="D4" i="8"/>
  <c r="C4" i="8"/>
  <c r="C28" i="8" s="1"/>
  <c r="C34" i="7"/>
  <c r="C29" i="7" s="1"/>
  <c r="C30" i="7"/>
  <c r="D26" i="7"/>
  <c r="D24" i="7"/>
  <c r="D22" i="7"/>
  <c r="D21" i="7"/>
  <c r="D20" i="7"/>
  <c r="C19" i="7"/>
  <c r="D19" i="7" s="1"/>
  <c r="B19" i="7"/>
  <c r="D17" i="7"/>
  <c r="D16" i="7"/>
  <c r="D15" i="7"/>
  <c r="D14" i="7"/>
  <c r="D13" i="7"/>
  <c r="D12" i="7"/>
  <c r="D11" i="7"/>
  <c r="D10" i="7"/>
  <c r="D9" i="7"/>
  <c r="D8" i="7"/>
  <c r="D7" i="7"/>
  <c r="D6" i="7"/>
  <c r="D5" i="7"/>
  <c r="C4" i="7"/>
  <c r="B4" i="7"/>
  <c r="F28" i="6"/>
  <c r="D28" i="6"/>
  <c r="C28" i="6"/>
  <c r="B28" i="6"/>
  <c r="F26" i="6"/>
  <c r="F25" i="6"/>
  <c r="F24" i="6"/>
  <c r="F23" i="6"/>
  <c r="F22" i="6"/>
  <c r="F21" i="6"/>
  <c r="F20" i="6"/>
  <c r="F18" i="6"/>
  <c r="F17" i="6"/>
  <c r="F16" i="6"/>
  <c r="F15" i="6"/>
  <c r="F14" i="6"/>
  <c r="F13" i="6"/>
  <c r="F12" i="6"/>
  <c r="F11" i="6"/>
  <c r="F10" i="6"/>
  <c r="F9" i="6"/>
  <c r="F8" i="6"/>
  <c r="F7" i="6"/>
  <c r="F6" i="6"/>
  <c r="F5" i="6"/>
  <c r="F4" i="6"/>
  <c r="F26" i="5"/>
  <c r="F25" i="5"/>
  <c r="E25" i="5"/>
  <c r="F24" i="5"/>
  <c r="E24" i="5"/>
  <c r="F22" i="5"/>
  <c r="E22" i="5"/>
  <c r="F21" i="5"/>
  <c r="E21" i="5"/>
  <c r="F20" i="5"/>
  <c r="E20" i="5"/>
  <c r="D19" i="5"/>
  <c r="F19" i="5" s="1"/>
  <c r="C19" i="5"/>
  <c r="B19" i="5"/>
  <c r="F17" i="5"/>
  <c r="E17" i="5"/>
  <c r="F16" i="5"/>
  <c r="E16" i="5"/>
  <c r="F15" i="5"/>
  <c r="E15" i="5"/>
  <c r="F14" i="5"/>
  <c r="E14" i="5"/>
  <c r="F12" i="5"/>
  <c r="E12" i="5"/>
  <c r="F11" i="5"/>
  <c r="E11" i="5"/>
  <c r="F10" i="5"/>
  <c r="E10" i="5"/>
  <c r="F9" i="5"/>
  <c r="E9" i="5"/>
  <c r="F8" i="5"/>
  <c r="E8" i="5"/>
  <c r="F7" i="5"/>
  <c r="E7" i="5"/>
  <c r="F6" i="5"/>
  <c r="E6" i="5"/>
  <c r="F5" i="5"/>
  <c r="E5" i="5"/>
  <c r="F4" i="5"/>
  <c r="E4" i="5"/>
  <c r="D4" i="5"/>
  <c r="D28" i="5" s="1"/>
  <c r="C4" i="5"/>
  <c r="C28" i="5" s="1"/>
  <c r="B4" i="5"/>
  <c r="B28" i="5" s="1"/>
  <c r="D28" i="4"/>
  <c r="C28" i="4"/>
  <c r="E28" i="4" s="1"/>
  <c r="B28" i="4"/>
  <c r="E26" i="4"/>
  <c r="E25" i="4"/>
  <c r="E24" i="4"/>
  <c r="E22" i="4"/>
  <c r="E21" i="4"/>
  <c r="E20" i="4"/>
  <c r="E18" i="4"/>
  <c r="E17" i="4"/>
  <c r="E16" i="4"/>
  <c r="E15" i="4"/>
  <c r="E14" i="4"/>
  <c r="E13" i="4"/>
  <c r="E12" i="4"/>
  <c r="E11" i="4"/>
  <c r="E10" i="4"/>
  <c r="E9" i="4"/>
  <c r="E8" i="4"/>
  <c r="E7" i="4"/>
  <c r="E6" i="4"/>
  <c r="E5" i="4"/>
  <c r="E4" i="4"/>
  <c r="F27" i="3"/>
  <c r="F26" i="3"/>
  <c r="E26" i="3"/>
  <c r="F25" i="3"/>
  <c r="F24" i="3"/>
  <c r="E24" i="3"/>
  <c r="F22" i="3"/>
  <c r="E22" i="3"/>
  <c r="F21" i="3"/>
  <c r="E21" i="3"/>
  <c r="F20" i="3"/>
  <c r="E20" i="3"/>
  <c r="D19" i="3"/>
  <c r="E19" i="3" s="1"/>
  <c r="C19" i="3"/>
  <c r="B19" i="3"/>
  <c r="F17" i="3"/>
  <c r="E17" i="3"/>
  <c r="F16" i="3"/>
  <c r="E16" i="3"/>
  <c r="F15" i="3"/>
  <c r="E15" i="3"/>
  <c r="F14" i="3"/>
  <c r="E14" i="3"/>
  <c r="F13" i="3"/>
  <c r="E13" i="3"/>
  <c r="F12" i="3"/>
  <c r="E12" i="3"/>
  <c r="F11" i="3"/>
  <c r="E11" i="3"/>
  <c r="F10" i="3"/>
  <c r="E10" i="3"/>
  <c r="F9" i="3"/>
  <c r="E9" i="3"/>
  <c r="F8" i="3"/>
  <c r="E8" i="3"/>
  <c r="F7" i="3"/>
  <c r="E7" i="3"/>
  <c r="F6" i="3"/>
  <c r="E6" i="3"/>
  <c r="F5" i="3"/>
  <c r="E5" i="3"/>
  <c r="D4" i="3"/>
  <c r="F4" i="3" s="1"/>
  <c r="C4" i="3"/>
  <c r="C29" i="3" s="1"/>
  <c r="B4" i="3"/>
  <c r="B29" i="3" s="1"/>
  <c r="W5" i="13" l="1"/>
  <c r="S5" i="13"/>
  <c r="B16" i="13"/>
  <c r="B14" i="13"/>
  <c r="B18" i="13"/>
  <c r="B22" i="13"/>
  <c r="C5" i="13"/>
  <c r="B20" i="13"/>
  <c r="B17" i="13"/>
  <c r="H5" i="13"/>
  <c r="B6" i="13"/>
  <c r="B7" i="13"/>
  <c r="B9" i="13"/>
  <c r="B15" i="13"/>
  <c r="B10" i="13"/>
  <c r="B12" i="13"/>
  <c r="B11" i="13"/>
  <c r="B13" i="13"/>
  <c r="B19" i="13"/>
  <c r="B21" i="13"/>
  <c r="B8" i="13"/>
  <c r="B23" i="12"/>
  <c r="D61" i="15"/>
  <c r="B628" i="11"/>
  <c r="B25" i="15"/>
  <c r="B124" i="15"/>
  <c r="D23" i="21"/>
  <c r="F4" i="15"/>
  <c r="D41" i="15"/>
  <c r="D4" i="15" s="1"/>
  <c r="D73" i="15"/>
  <c r="E10" i="29"/>
  <c r="F10" i="29"/>
  <c r="D14" i="32"/>
  <c r="C5" i="42"/>
  <c r="C1266" i="11"/>
  <c r="D17" i="22"/>
  <c r="E14" i="22"/>
  <c r="E4" i="34"/>
  <c r="D11" i="34"/>
  <c r="F28" i="5"/>
  <c r="E28" i="5"/>
  <c r="D1266" i="11"/>
  <c r="D1269" i="11" s="1"/>
  <c r="D28" i="8"/>
  <c r="C33" i="8"/>
  <c r="B4" i="11"/>
  <c r="B249" i="11"/>
  <c r="B22" i="12"/>
  <c r="H4" i="15"/>
  <c r="B38" i="15"/>
  <c r="B41" i="15"/>
  <c r="B115" i="15"/>
  <c r="B119" i="15"/>
  <c r="D20" i="24"/>
  <c r="B10" i="26"/>
  <c r="B12" i="12"/>
  <c r="B5" i="12" s="1"/>
  <c r="B31" i="15"/>
  <c r="B16" i="26"/>
  <c r="D7" i="18"/>
  <c r="E8" i="32"/>
  <c r="E5" i="34"/>
  <c r="E4" i="3"/>
  <c r="F19" i="3"/>
  <c r="C28" i="9"/>
  <c r="E10" i="22"/>
  <c r="E20" i="23"/>
  <c r="D10" i="27"/>
  <c r="E112" i="15"/>
  <c r="D112" i="15" s="1"/>
  <c r="B112" i="15" s="1"/>
  <c r="D29" i="3"/>
  <c r="D4" i="7"/>
  <c r="D125" i="15"/>
  <c r="B125" i="15" s="1"/>
  <c r="C9" i="16"/>
  <c r="D9" i="16" s="1"/>
  <c r="E14" i="24"/>
  <c r="D12" i="30"/>
  <c r="B28" i="7"/>
  <c r="G20" i="7" s="1"/>
  <c r="C47" i="15"/>
  <c r="B47" i="15" s="1"/>
  <c r="B4" i="15" s="1"/>
  <c r="J4" i="15" s="1"/>
  <c r="D98" i="15"/>
  <c r="B98" i="15" s="1"/>
  <c r="E19" i="21"/>
  <c r="C16" i="26"/>
  <c r="F7" i="27"/>
  <c r="E19" i="5"/>
  <c r="C28" i="7"/>
  <c r="C61" i="15"/>
  <c r="B61" i="15" s="1"/>
  <c r="C73" i="15"/>
  <c r="B73" i="15" s="1"/>
  <c r="D11" i="28"/>
  <c r="BK5" i="12"/>
  <c r="BG5" i="12" s="1"/>
  <c r="B5" i="13" l="1"/>
  <c r="C4" i="15"/>
  <c r="K4" i="15" s="1"/>
  <c r="B1266" i="11"/>
  <c r="D15" i="34"/>
  <c r="E11" i="34"/>
  <c r="F12" i="30"/>
  <c r="E12" i="30"/>
  <c r="D15" i="30"/>
  <c r="F15" i="30" s="1"/>
  <c r="F10" i="27"/>
  <c r="E10" i="27"/>
  <c r="D28" i="7"/>
  <c r="C39" i="7"/>
  <c r="D28" i="9"/>
  <c r="C42" i="9"/>
  <c r="E4" i="15"/>
  <c r="F11" i="28"/>
  <c r="E11" i="28"/>
  <c r="F29" i="3"/>
  <c r="E29" i="3"/>
  <c r="H20" i="7"/>
  <c r="H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K27" authorId="0" shapeId="0" xr:uid="{00000000-0006-0000-0B00-000001000000}">
      <text>
        <r>
          <rPr>
            <sz val="9"/>
            <rFont val="宋体"/>
            <family val="3"/>
            <charset val="134"/>
          </rPr>
          <t>Administrator:
-3万，保障与财力一致</t>
        </r>
      </text>
    </comment>
  </commentList>
</comments>
</file>

<file path=xl/sharedStrings.xml><?xml version="1.0" encoding="utf-8"?>
<sst xmlns="http://schemas.openxmlformats.org/spreadsheetml/2006/main" count="2753" uniqueCount="1797">
  <si>
    <t>附件</t>
  </si>
  <si>
    <t>铜川市2020年财政预算执行情况
和2021年财政预算（草案）</t>
  </si>
  <si>
    <t>铜川市财政局</t>
  </si>
  <si>
    <t>目    录</t>
  </si>
  <si>
    <t>一、一般公共预算</t>
  </si>
  <si>
    <t>表1 2020年全市一般公共预算收入执行情况表</t>
  </si>
  <si>
    <t>表2 2020年全市一般公共预算支出执行情况表</t>
  </si>
  <si>
    <t>表3 2020年市级一般公共预算收入执行情况表</t>
  </si>
  <si>
    <t>表4 2020年市级一般公共预算支出执行情况表</t>
  </si>
  <si>
    <t>表5 2021年全市一般公共预算收入预算表</t>
  </si>
  <si>
    <t>表6 2021年全市一般公共预算支出预算表</t>
  </si>
  <si>
    <t>表7 2021年市级一般公共预算收入预算表</t>
  </si>
  <si>
    <t>表8 2021年市级一般公共预算支出预算总表</t>
  </si>
  <si>
    <t>表9 2021年市级一般公共预算支出预算表</t>
  </si>
  <si>
    <t>表10 2021年市级一般公共预算支出经济分类预算表</t>
  </si>
  <si>
    <t>表11 2021年市级一般公共预算基本支出表</t>
  </si>
  <si>
    <t>表12 2021年市级一般公共预算税收返还和转移支付预算表</t>
  </si>
  <si>
    <t>表13 2021年一般公共预算专项转移支付预算表</t>
  </si>
  <si>
    <t>表14 2021年市级“三公”经费支出预算对比表</t>
  </si>
  <si>
    <t>二、政府性基金预算</t>
  </si>
  <si>
    <t>表15 2020年全市政府性基金预算收入执行情况表</t>
  </si>
  <si>
    <t>表16 2020年全市政府性基金预算支出执行情况表</t>
  </si>
  <si>
    <t>表17 2020年市级政府性基金预算收入执行情况表</t>
  </si>
  <si>
    <t>表18 2020年市级政府性基金预算支出执行情况表</t>
  </si>
  <si>
    <t>表19 2021年全市政府性基金预算收入预算表</t>
  </si>
  <si>
    <t>表20 2021年全市政府性基金预算支出预算表</t>
  </si>
  <si>
    <t>表21 2021年市级政府性基金预算收入预算表</t>
  </si>
  <si>
    <t>表22 2021年市级政府性基金预算支出预算总表</t>
  </si>
  <si>
    <t>表23 2021年市级政府性基金预算支出预算表</t>
  </si>
  <si>
    <t>表24 2021年政府性基金预算专项转移支付预算表</t>
  </si>
  <si>
    <t>三、国有资本经营预算</t>
  </si>
  <si>
    <t>表25 2020年全市国有资本经营预算收入执行情况表</t>
  </si>
  <si>
    <t>表26 2020年全市国有资本经营预算支出执行情况表</t>
  </si>
  <si>
    <t>表27 2020年市级国有资本经营预算收入执行情况表</t>
  </si>
  <si>
    <t>表28 2020年市级国有资本经营预算支出执行情况表</t>
  </si>
  <si>
    <t>表29 2021年全市国有资本经营收入预算表</t>
  </si>
  <si>
    <t>表30 2021年全市国有资本经营支出预算表</t>
  </si>
  <si>
    <t>表31 2021年市级国有资本经营收入预算表</t>
  </si>
  <si>
    <t>表32 2021年市级国有资本经营支出预算表</t>
  </si>
  <si>
    <t>表33 2021年国有资本经营预算专项转移支付预算表</t>
  </si>
  <si>
    <t>四、社会保险基金预算</t>
  </si>
  <si>
    <t>表34 2020年全市社会保险基金收支执行情况表</t>
  </si>
  <si>
    <t>表35 2020年市级社会保险基金收支执行情况表</t>
  </si>
  <si>
    <t>表36 2021年全市社会保险基金收入预算表</t>
  </si>
  <si>
    <t>表37 2021年全市社会保险基金支出预算表</t>
  </si>
  <si>
    <t>表38 2021年市级社会保险基金收入预算表</t>
  </si>
  <si>
    <t>表39 2021年市级社会保险基金支出预算表</t>
  </si>
  <si>
    <t>五、政府债务</t>
  </si>
  <si>
    <t>表40 2020年底政府性债务余额情况表</t>
  </si>
  <si>
    <t>表41 2020年政府一般债务限额和余额情况表</t>
  </si>
  <si>
    <t>表42 2020年政府专项债务限额和余额情况表</t>
  </si>
  <si>
    <t>2020年全市一般公共预算收入执行情况表</t>
  </si>
  <si>
    <t>表一</t>
  </si>
  <si>
    <t>单位:万元</t>
  </si>
  <si>
    <t>项    目</t>
  </si>
  <si>
    <t>2019年
决算数</t>
  </si>
  <si>
    <t>2020年
预算数</t>
  </si>
  <si>
    <t>2020年
执行数</t>
  </si>
  <si>
    <t>执行数
占预算%</t>
  </si>
  <si>
    <t>执行数
比上年±%</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</si>
  <si>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</si>
  <si>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</si>
  <si>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</si>
  <si>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</si>
  <si>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</si>
  <si>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</si>
  <si>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</si>
  <si>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</si>
  <si>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</si>
  <si>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</si>
  <si>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</si>
  <si>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</si>
  <si>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</si>
  <si>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</si>
  <si>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</si>
  <si>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</si>
  <si>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</si>
  <si>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</si>
  <si>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</si>
  <si>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</si>
  <si>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</si>
  <si>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</si>
  <si>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</si>
  <si>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收入合计</t>
  </si>
  <si>
    <t xml:space="preserve"> 2020年全市一般公共预算支出执行情况表</t>
  </si>
  <si>
    <t>表二</t>
  </si>
  <si>
    <t>单位：万元</t>
  </si>
  <si>
    <t>完成年初预算%</t>
  </si>
  <si>
    <t>备注</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</si>
  <si>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</si>
  <si>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</si>
  <si>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</si>
  <si>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</si>
  <si>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</si>
  <si>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</si>
  <si>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</si>
  <si>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</si>
  <si>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</si>
  <si>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</si>
  <si>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</si>
  <si>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</si>
  <si>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</si>
  <si>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</si>
  <si>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</si>
  <si>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</si>
  <si>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</si>
  <si>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</si>
  <si>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</si>
  <si>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</si>
  <si>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2019年新设科目</t>
  </si>
  <si>
    <t>二十一、债务付息支出</t>
  </si>
  <si>
    <t>二十二、债务发行费支出</t>
  </si>
  <si>
    <t>二十三、其他支出</t>
  </si>
  <si>
    <t>支出合计</t>
  </si>
  <si>
    <t>2020年市级一般公共预算收入执行情况表</t>
  </si>
  <si>
    <t>表三</t>
  </si>
  <si>
    <t xml:space="preserve">   增值税</t>
  </si>
  <si>
    <t xml:space="preserve">   企业所得税</t>
  </si>
  <si>
    <t xml:space="preserve">   个人所得税</t>
  </si>
  <si>
    <t xml:space="preserve">   资源税</t>
  </si>
  <si>
    <t xml:space="preserve">   城市维护建设税</t>
  </si>
  <si>
    <t xml:space="preserve">   房产税</t>
  </si>
  <si>
    <t xml:space="preserve">   城镇土地使用税</t>
  </si>
  <si>
    <t xml:space="preserve">   环境保护税</t>
  </si>
  <si>
    <t xml:space="preserve">   专项收入</t>
  </si>
  <si>
    <t xml:space="preserve">   行政事业性收费收入</t>
  </si>
  <si>
    <t xml:space="preserve">   国有资源（资产）有偿使用收入</t>
  </si>
  <si>
    <t xml:space="preserve">   其他收入</t>
  </si>
  <si>
    <t>2020年市级一般公共预算支出执行情况表</t>
  </si>
  <si>
    <t>表四</t>
  </si>
  <si>
    <t>2019年
预算数</t>
  </si>
  <si>
    <t>执行数比上年±%</t>
  </si>
  <si>
    <t>二十二、债务付息支出</t>
  </si>
  <si>
    <t>二十三、债务发行费支出</t>
  </si>
  <si>
    <t>二十四、其他支出</t>
  </si>
  <si>
    <t xml:space="preserve"> 2021年全市一般公共预算收入预算表</t>
  </si>
  <si>
    <t>表五</t>
  </si>
  <si>
    <t>项          目</t>
  </si>
  <si>
    <t>上一年
执行数</t>
  </si>
  <si>
    <t>2021年
预算数</t>
  </si>
  <si>
    <t>预算数
比上年±%</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</si>
  <si>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</si>
  <si>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</si>
  <si>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</si>
  <si>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</si>
  <si>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</si>
  <si>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</si>
  <si>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</si>
  <si>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</si>
  <si>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</si>
  <si>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</si>
  <si>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</si>
  <si>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</si>
  <si>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</si>
  <si>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</si>
  <si>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</si>
  <si>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</si>
  <si>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</si>
  <si>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</si>
  <si>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</si>
  <si>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</si>
  <si>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</si>
  <si>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</si>
  <si>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转移性收入</t>
  </si>
  <si>
    <t>　上级补助收入</t>
  </si>
  <si>
    <t xml:space="preserve">    返还性收入</t>
  </si>
  <si>
    <t xml:space="preserve">    一般性转移支付补助</t>
  </si>
  <si>
    <t xml:space="preserve">    专项转移支付补助</t>
  </si>
  <si>
    <t xml:space="preserve">  调入资金</t>
  </si>
  <si>
    <t xml:space="preserve">    从政府性基金调入一般公共预算</t>
  </si>
  <si>
    <t xml:space="preserve">    盘活存量资金调入</t>
  </si>
  <si>
    <t xml:space="preserve">  新增地方政府一般债券</t>
  </si>
  <si>
    <t>收入总计</t>
  </si>
  <si>
    <t xml:space="preserve"> 2021年全市一般公共预算支出预算表</t>
  </si>
  <si>
    <t>表六</t>
  </si>
  <si>
    <t>项       目</t>
  </si>
  <si>
    <t>上一年
预算数</t>
  </si>
  <si>
    <t>预算数比上年预算±%</t>
  </si>
  <si>
    <t>省级</t>
  </si>
  <si>
    <t>西安</t>
  </si>
  <si>
    <t>铜川</t>
  </si>
  <si>
    <t>宝鸡</t>
  </si>
  <si>
    <t>咸阳</t>
  </si>
  <si>
    <t>渭南</t>
  </si>
  <si>
    <t>汉中</t>
  </si>
  <si>
    <t>安康</t>
  </si>
  <si>
    <t>商洛</t>
  </si>
  <si>
    <t>延安</t>
  </si>
  <si>
    <t>榆林</t>
  </si>
  <si>
    <t>杨凌</t>
  </si>
  <si>
    <t>一般公共服务支出</t>
  </si>
  <si>
    <t>相关科目2021年已停用</t>
  </si>
  <si>
    <t>国防支出</t>
  </si>
  <si>
    <t>十三、资源勘探工业信息等支出</t>
  </si>
  <si>
    <t>二十一、预备费</t>
  </si>
  <si>
    <t>二十二、其他支出</t>
  </si>
  <si>
    <t>二十三、债务付息支出</t>
  </si>
  <si>
    <t>二十四、债务发行费用支出</t>
  </si>
  <si>
    <t>上解中省支出</t>
  </si>
  <si>
    <t>　　出口退税上解支出</t>
  </si>
  <si>
    <t>　　专项上解支出</t>
  </si>
  <si>
    <t>支出总计</t>
  </si>
  <si>
    <t xml:space="preserve"> 2021年市级一般公共预算收入预算表</t>
  </si>
  <si>
    <t>表七</t>
  </si>
  <si>
    <t>项        目</t>
  </si>
  <si>
    <t>预算数比上年±%</t>
  </si>
  <si>
    <t xml:space="preserve">  上级补助收入</t>
  </si>
  <si>
    <t xml:space="preserve">    一般性转移支付收入</t>
  </si>
  <si>
    <t xml:space="preserve">    专项转移支付收入</t>
  </si>
  <si>
    <t xml:space="preserve">  下级上解收入</t>
  </si>
  <si>
    <t xml:space="preserve">    出口退税专项上解收入</t>
  </si>
  <si>
    <t xml:space="preserve">    专项上解收入</t>
  </si>
  <si>
    <t/>
  </si>
  <si>
    <t>2021年市级一般公共预算支出预算总表</t>
  </si>
  <si>
    <t>表八</t>
  </si>
  <si>
    <t>合计</t>
  </si>
  <si>
    <t>转移性支出</t>
  </si>
  <si>
    <t xml:space="preserve">    对下税收返还支出</t>
  </si>
  <si>
    <t xml:space="preserve">    对下一般性转移支付支出</t>
  </si>
  <si>
    <t xml:space="preserve">    对下专项转移支付</t>
  </si>
  <si>
    <t xml:space="preserve">    上解支出</t>
  </si>
  <si>
    <t>2021年市级一般公共预算支出预算表</t>
  </si>
  <si>
    <t>表九</t>
  </si>
  <si>
    <t>预算数</t>
  </si>
  <si>
    <t>导出</t>
  </si>
  <si>
    <t>专款</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</si>
  <si>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</si>
  <si>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</si>
  <si>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</si>
  <si>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</si>
  <si>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</si>
  <si>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</si>
  <si>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</si>
  <si>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</si>
  <si>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</si>
  <si>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</si>
  <si>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</si>
  <si>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</si>
  <si>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</si>
  <si>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</si>
  <si>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</si>
  <si>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</si>
  <si>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</si>
  <si>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</si>
  <si>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</si>
  <si>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</si>
  <si>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</si>
  <si>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</si>
  <si>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</si>
  <si>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</si>
  <si>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</si>
  <si>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</si>
  <si>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</si>
  <si>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</si>
  <si>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</si>
  <si>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</si>
  <si>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</si>
  <si>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</si>
  <si>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</si>
  <si>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</si>
  <si>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</si>
  <si>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</si>
  <si>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</si>
  <si>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</si>
  <si>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</si>
  <si>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</si>
  <si>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</si>
  <si>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</si>
  <si>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</si>
  <si>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</si>
  <si>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</si>
  <si>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</si>
  <si>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</si>
  <si>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</si>
  <si>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</si>
  <si>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</si>
  <si>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</si>
  <si>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</si>
  <si>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</si>
  <si>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</si>
  <si>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</si>
  <si>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</si>
  <si>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</si>
  <si>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</si>
  <si>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</si>
  <si>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</si>
  <si>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</si>
  <si>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</si>
  <si>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</si>
  <si>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</si>
  <si>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</si>
  <si>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</si>
  <si>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</si>
  <si>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</si>
  <si>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</si>
  <si>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</si>
  <si>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</si>
  <si>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</si>
  <si>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</si>
  <si>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</si>
  <si>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</si>
  <si>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</si>
  <si>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</si>
  <si>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</si>
  <si>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</si>
  <si>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</si>
  <si>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</si>
  <si>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</si>
  <si>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</si>
  <si>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</si>
  <si>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</si>
  <si>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</si>
  <si>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</si>
  <si>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</si>
  <si>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</si>
  <si>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</si>
  <si>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</si>
  <si>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</si>
  <si>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</si>
  <si>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</si>
  <si>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</si>
  <si>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</si>
  <si>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</si>
  <si>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</si>
  <si>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</si>
  <si>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</si>
  <si>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</si>
  <si>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</si>
  <si>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</si>
  <si>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</si>
  <si>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</si>
  <si>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</si>
  <si>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</si>
  <si>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</si>
  <si>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</si>
  <si>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</si>
  <si>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</si>
  <si>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</si>
  <si>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</si>
  <si>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</si>
  <si>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</si>
  <si>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</si>
  <si>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</si>
  <si>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</si>
  <si>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</si>
  <si>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</si>
  <si>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</si>
  <si>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</si>
  <si>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</si>
  <si>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</si>
  <si>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</si>
  <si>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</si>
  <si>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</si>
  <si>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</si>
  <si>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</si>
  <si>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</si>
  <si>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</si>
  <si>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对外宣传</t>
  </si>
  <si>
    <t xml:space="preserve">    其他外交支出</t>
  </si>
  <si>
    <t xml:space="preserve">  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</si>
  <si>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</si>
  <si>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</si>
  <si>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</si>
  <si>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</si>
  <si>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</si>
  <si>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</si>
  <si>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</si>
  <si>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</si>
  <si>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</si>
  <si>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</si>
  <si>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</si>
  <si>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</si>
  <si>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</si>
  <si>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</si>
  <si>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</si>
  <si>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</si>
  <si>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</si>
  <si>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</si>
  <si>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</si>
  <si>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</si>
  <si>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</si>
  <si>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</si>
  <si>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</si>
  <si>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</si>
  <si>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</si>
  <si>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</si>
  <si>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</si>
  <si>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</si>
  <si>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</si>
  <si>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</si>
  <si>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</si>
  <si>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</si>
  <si>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</si>
  <si>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</si>
  <si>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</si>
  <si>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</si>
  <si>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</si>
  <si>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</si>
  <si>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</si>
  <si>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</si>
  <si>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</si>
  <si>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</si>
  <si>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</si>
  <si>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</si>
  <si>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</si>
  <si>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</si>
  <si>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</si>
  <si>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</si>
  <si>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</si>
  <si>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</si>
  <si>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</si>
  <si>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</si>
  <si>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</si>
  <si>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</si>
  <si>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</si>
  <si>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</si>
  <si>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</si>
  <si>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</si>
  <si>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</si>
  <si>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</si>
  <si>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</si>
  <si>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</si>
  <si>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</si>
  <si>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</si>
  <si>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</si>
  <si>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</si>
  <si>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</si>
  <si>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</si>
  <si>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</si>
  <si>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</si>
  <si>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</si>
  <si>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</si>
  <si>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</si>
  <si>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</si>
  <si>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</si>
  <si>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</si>
  <si>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</si>
  <si>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</si>
  <si>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</si>
  <si>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</si>
  <si>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</si>
  <si>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</si>
  <si>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</si>
  <si>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</si>
  <si>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</si>
  <si>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</si>
  <si>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</si>
  <si>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</si>
  <si>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</si>
  <si>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</si>
  <si>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</si>
  <si>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</si>
  <si>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</si>
  <si>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</si>
  <si>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</si>
  <si>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</si>
  <si>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</si>
  <si>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</si>
  <si>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</si>
  <si>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</si>
  <si>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</si>
  <si>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</si>
  <si>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</si>
  <si>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</si>
  <si>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</si>
  <si>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</si>
  <si>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</si>
  <si>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</si>
  <si>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</si>
  <si>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</si>
  <si>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</si>
  <si>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</si>
  <si>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</si>
  <si>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</si>
  <si>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</si>
  <si>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</si>
  <si>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</si>
  <si>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</si>
  <si>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</si>
  <si>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</si>
  <si>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</si>
  <si>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</si>
  <si>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</si>
  <si>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</si>
  <si>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</si>
  <si>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</si>
  <si>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</si>
  <si>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</si>
  <si>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</si>
  <si>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</si>
  <si>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</si>
  <si>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</si>
  <si>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</si>
  <si>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</si>
  <si>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</si>
  <si>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</si>
  <si>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</si>
  <si>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</si>
  <si>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</si>
  <si>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</si>
  <si>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</si>
  <si>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</si>
  <si>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</si>
  <si>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</si>
  <si>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</si>
  <si>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</si>
  <si>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</si>
  <si>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</si>
  <si>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</si>
  <si>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</si>
  <si>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</si>
  <si>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</si>
  <si>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</si>
  <si>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</si>
  <si>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</si>
  <si>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</si>
  <si>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</si>
  <si>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</si>
  <si>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</si>
  <si>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</si>
  <si>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</si>
  <si>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</si>
  <si>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</si>
  <si>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</si>
  <si>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</si>
  <si>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</si>
  <si>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</si>
  <si>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</si>
  <si>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</si>
  <si>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</si>
  <si>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</si>
  <si>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</si>
  <si>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</si>
  <si>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</si>
  <si>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</si>
  <si>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</si>
  <si>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</si>
  <si>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</si>
  <si>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</si>
  <si>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</si>
  <si>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</si>
  <si>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</si>
  <si>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</si>
  <si>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</si>
  <si>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</si>
  <si>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</si>
  <si>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</si>
  <si>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</si>
  <si>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</si>
  <si>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</si>
  <si>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</si>
  <si>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</si>
  <si>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</si>
  <si>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</si>
  <si>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</si>
  <si>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</si>
  <si>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</si>
  <si>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</si>
  <si>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</si>
  <si>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</si>
  <si>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</si>
  <si>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</si>
  <si>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</si>
  <si>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</si>
  <si>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</si>
  <si>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</si>
  <si>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</si>
  <si>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</si>
  <si>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</si>
  <si>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</si>
  <si>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</si>
  <si>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</si>
  <si>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</si>
  <si>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</si>
  <si>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</si>
  <si>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</si>
  <si>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</si>
  <si>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</si>
  <si>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</si>
  <si>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</si>
  <si>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</si>
  <si>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</si>
  <si>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</si>
  <si>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</si>
  <si>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</si>
  <si>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</si>
  <si>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</si>
  <si>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</si>
  <si>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</si>
  <si>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</si>
  <si>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</si>
  <si>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</si>
  <si>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</si>
  <si>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</si>
  <si>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</si>
  <si>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</si>
  <si>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</si>
  <si>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</si>
  <si>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</si>
  <si>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</si>
  <si>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</si>
  <si>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</si>
  <si>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</si>
  <si>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</si>
  <si>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</si>
  <si>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</si>
  <si>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</si>
  <si>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</si>
  <si>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</si>
  <si>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</si>
  <si>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</si>
  <si>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</si>
  <si>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</si>
  <si>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</si>
  <si>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</si>
  <si>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</si>
  <si>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</si>
  <si>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</si>
  <si>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</si>
  <si>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</si>
  <si>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</si>
  <si>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</si>
  <si>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</si>
  <si>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</si>
  <si>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</si>
  <si>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</si>
  <si>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</si>
  <si>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</si>
  <si>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</si>
  <si>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</si>
  <si>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</si>
  <si>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</si>
  <si>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</si>
  <si>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</si>
  <si>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</si>
  <si>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</si>
  <si>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</si>
  <si>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</si>
  <si>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</si>
  <si>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</si>
  <si>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</si>
  <si>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</si>
  <si>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</si>
  <si>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</si>
  <si>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</si>
  <si>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</si>
  <si>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</si>
  <si>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</si>
  <si>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</si>
  <si>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</si>
  <si>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</si>
  <si>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</si>
  <si>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</si>
  <si>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</si>
  <si>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</si>
  <si>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</si>
  <si>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</si>
  <si>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</si>
  <si>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</si>
  <si>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</si>
  <si>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</si>
  <si>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</si>
  <si>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</si>
  <si>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</si>
  <si>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</si>
  <si>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</si>
  <si>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</si>
  <si>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</si>
  <si>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</si>
  <si>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</si>
  <si>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</si>
  <si>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</si>
  <si>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</si>
  <si>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</si>
  <si>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</si>
  <si>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</si>
  <si>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</si>
  <si>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</si>
  <si>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</si>
  <si>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</si>
  <si>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</si>
  <si>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</si>
  <si>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</si>
  <si>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</si>
  <si>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</si>
  <si>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</si>
  <si>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</si>
  <si>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</si>
  <si>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</si>
  <si>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</si>
  <si>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</si>
  <si>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</si>
  <si>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</si>
  <si>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</si>
  <si>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</si>
  <si>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</si>
  <si>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</si>
  <si>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</si>
  <si>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</si>
  <si>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</si>
  <si>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</si>
  <si>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</si>
  <si>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</si>
  <si>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</si>
  <si>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</si>
  <si>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</si>
  <si>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</si>
  <si>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</si>
  <si>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</si>
  <si>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</si>
  <si>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</si>
  <si>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</si>
  <si>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</si>
  <si>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</si>
  <si>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</si>
  <si>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</si>
  <si>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</si>
  <si>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</si>
  <si>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</si>
  <si>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</si>
  <si>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</si>
  <si>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</si>
  <si>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</si>
  <si>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</si>
  <si>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</si>
  <si>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</si>
  <si>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</si>
  <si>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</si>
  <si>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</si>
  <si>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</si>
  <si>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</si>
  <si>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</si>
  <si>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</si>
  <si>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</si>
  <si>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</si>
  <si>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</si>
  <si>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</si>
  <si>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</si>
  <si>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</si>
  <si>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</si>
  <si>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</si>
  <si>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</si>
  <si>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</si>
  <si>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</si>
  <si>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</si>
  <si>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</si>
  <si>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</si>
  <si>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</si>
  <si>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</si>
  <si>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</si>
  <si>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</si>
  <si>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</si>
  <si>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</si>
  <si>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</si>
  <si>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</si>
  <si>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</si>
  <si>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</si>
  <si>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</si>
  <si>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</si>
  <si>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</si>
  <si>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</si>
  <si>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</si>
  <si>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</si>
  <si>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</si>
  <si>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</si>
  <si>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</si>
  <si>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</si>
  <si>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</si>
  <si>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</si>
  <si>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</si>
  <si>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</si>
  <si>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</si>
  <si>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</si>
  <si>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</si>
  <si>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</si>
  <si>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</si>
  <si>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</si>
  <si>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</si>
  <si>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</si>
  <si>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</si>
  <si>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</si>
  <si>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</si>
  <si>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</si>
  <si>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</si>
  <si>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</si>
  <si>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</si>
  <si>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</si>
  <si>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</si>
  <si>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</si>
  <si>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</si>
  <si>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</si>
  <si>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</si>
  <si>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</si>
  <si>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</si>
  <si>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</si>
  <si>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</si>
  <si>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</si>
  <si>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</si>
  <si>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</si>
  <si>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</si>
  <si>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</si>
  <si>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</si>
  <si>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</si>
  <si>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</si>
  <si>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</si>
  <si>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</si>
  <si>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</si>
  <si>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</si>
  <si>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</si>
  <si>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</si>
  <si>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</si>
  <si>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</si>
  <si>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</si>
  <si>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</si>
  <si>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</si>
  <si>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</si>
  <si>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</si>
  <si>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</si>
  <si>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</si>
  <si>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</si>
  <si>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</si>
  <si>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</si>
  <si>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</si>
  <si>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</si>
  <si>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</si>
  <si>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</si>
  <si>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</si>
  <si>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</si>
  <si>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</si>
  <si>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</si>
  <si>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</si>
  <si>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</si>
  <si>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</si>
  <si>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</si>
  <si>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</si>
  <si>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</si>
  <si>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</si>
  <si>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</si>
  <si>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</si>
  <si>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</si>
  <si>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</si>
  <si>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</si>
  <si>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</si>
  <si>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</si>
  <si>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</si>
  <si>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</si>
  <si>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</si>
  <si>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</si>
  <si>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</si>
  <si>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</si>
  <si>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</si>
  <si>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</si>
  <si>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</si>
  <si>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</si>
  <si>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</si>
  <si>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</si>
  <si>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</si>
  <si>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</si>
  <si>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</si>
  <si>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</si>
  <si>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</si>
  <si>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</si>
  <si>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</si>
  <si>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</si>
  <si>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</si>
  <si>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</si>
  <si>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</si>
  <si>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</si>
  <si>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</si>
  <si>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</si>
  <si>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</si>
  <si>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</si>
  <si>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</si>
  <si>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</si>
  <si>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</si>
  <si>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</si>
  <si>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</si>
  <si>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</si>
  <si>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</si>
  <si>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</si>
  <si>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</si>
  <si>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</si>
  <si>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</si>
  <si>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</si>
  <si>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</si>
  <si>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</si>
  <si>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</si>
  <si>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</si>
  <si>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</si>
  <si>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</si>
  <si>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</si>
  <si>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</si>
  <si>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</si>
  <si>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</si>
  <si>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</si>
  <si>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</si>
  <si>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</si>
  <si>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</si>
  <si>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</si>
  <si>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</si>
  <si>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</si>
  <si>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</si>
  <si>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</si>
  <si>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</si>
  <si>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</si>
  <si>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</si>
  <si>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</si>
  <si>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</si>
  <si>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</si>
  <si>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</si>
  <si>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</si>
  <si>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</si>
  <si>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</si>
  <si>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</si>
  <si>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</si>
  <si>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</si>
  <si>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</si>
  <si>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</si>
  <si>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</si>
  <si>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</si>
  <si>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</si>
  <si>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</si>
  <si>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</si>
  <si>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</si>
  <si>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</si>
  <si>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</si>
  <si>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</si>
  <si>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</si>
  <si>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</si>
  <si>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</si>
  <si>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</si>
  <si>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</si>
  <si>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</si>
  <si>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</si>
  <si>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</si>
  <si>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</si>
  <si>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</si>
  <si>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</si>
  <si>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</si>
  <si>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</si>
  <si>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</si>
  <si>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</si>
  <si>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</si>
  <si>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</si>
  <si>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</si>
  <si>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</si>
  <si>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</si>
  <si>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</si>
  <si>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</si>
  <si>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</si>
  <si>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</si>
  <si>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</si>
  <si>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</si>
  <si>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</si>
  <si>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</si>
  <si>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</si>
  <si>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</si>
  <si>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</si>
  <si>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</si>
  <si>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</si>
  <si>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</si>
  <si>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</si>
  <si>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</si>
  <si>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</si>
  <si>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</si>
  <si>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</si>
  <si>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</si>
  <si>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</si>
  <si>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</si>
  <si>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</si>
  <si>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</si>
  <si>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</si>
  <si>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</si>
  <si>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</si>
  <si>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</si>
  <si>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</si>
  <si>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</si>
  <si>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</si>
  <si>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</si>
  <si>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</si>
  <si>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</si>
  <si>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</si>
  <si>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</si>
  <si>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</si>
  <si>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</si>
  <si>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</si>
  <si>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</si>
  <si>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</si>
  <si>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</si>
  <si>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</si>
  <si>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</si>
  <si>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</si>
  <si>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</si>
  <si>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</si>
  <si>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</si>
  <si>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</si>
  <si>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</si>
  <si>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</si>
  <si>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</si>
  <si>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</si>
  <si>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</si>
  <si>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</si>
  <si>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</si>
  <si>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</si>
  <si>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</si>
  <si>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</si>
  <si>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</si>
  <si>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</si>
  <si>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</si>
  <si>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</si>
  <si>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</si>
  <si>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</si>
  <si>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</si>
  <si>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</si>
  <si>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</si>
  <si>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</si>
  <si>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</si>
  <si>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</si>
  <si>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</si>
  <si>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</si>
  <si>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</si>
  <si>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</si>
  <si>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</si>
  <si>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</si>
  <si>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</si>
  <si>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</si>
  <si>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</si>
  <si>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</si>
  <si>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</si>
  <si>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</si>
  <si>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</si>
  <si>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</si>
  <si>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</si>
  <si>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</si>
  <si>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</si>
  <si>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</si>
  <si>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</si>
  <si>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</si>
  <si>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</si>
  <si>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</si>
  <si>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</si>
  <si>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</si>
  <si>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</si>
  <si>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</si>
  <si>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</si>
  <si>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</si>
  <si>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</si>
  <si>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</si>
  <si>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</si>
  <si>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</si>
  <si>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</si>
  <si>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</si>
  <si>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</si>
  <si>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</si>
  <si>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</si>
  <si>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</si>
  <si>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</si>
  <si>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</si>
  <si>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</si>
  <si>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</si>
  <si>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</si>
  <si>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</si>
  <si>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</si>
  <si>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</si>
  <si>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</si>
  <si>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</si>
  <si>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</si>
  <si>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</si>
  <si>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</si>
  <si>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</si>
  <si>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</si>
  <si>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</si>
  <si>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</si>
  <si>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</si>
  <si>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</si>
  <si>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</si>
  <si>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</si>
  <si>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</si>
  <si>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</si>
  <si>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</si>
  <si>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</si>
  <si>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</si>
  <si>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</si>
  <si>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</si>
  <si>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</si>
  <si>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</si>
  <si>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</si>
  <si>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</si>
  <si>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</si>
  <si>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</si>
  <si>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</si>
  <si>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</si>
  <si>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</si>
  <si>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</si>
  <si>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</si>
  <si>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</si>
  <si>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</si>
  <si>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</si>
  <si>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</si>
  <si>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</si>
  <si>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</si>
  <si>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</si>
  <si>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</si>
  <si>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</si>
  <si>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</si>
  <si>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</si>
  <si>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</si>
  <si>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</si>
  <si>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</si>
  <si>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</si>
  <si>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</si>
  <si>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</si>
  <si>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</si>
  <si>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</si>
  <si>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</si>
  <si>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</si>
  <si>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</si>
  <si>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</si>
  <si>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</si>
  <si>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</si>
  <si>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</si>
  <si>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</si>
  <si>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</si>
  <si>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</si>
  <si>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</si>
  <si>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</si>
  <si>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</si>
  <si>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</si>
  <si>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</si>
  <si>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</si>
  <si>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</si>
  <si>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</si>
  <si>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</si>
  <si>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</si>
  <si>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</si>
  <si>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</si>
  <si>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</si>
  <si>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</si>
  <si>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</si>
  <si>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</si>
  <si>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</si>
  <si>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</si>
  <si>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</si>
  <si>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</si>
  <si>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</si>
  <si>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</si>
  <si>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</si>
  <si>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</si>
  <si>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</si>
  <si>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</si>
  <si>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</si>
  <si>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</si>
  <si>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</si>
  <si>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</si>
  <si>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</si>
  <si>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</si>
  <si>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</si>
  <si>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</si>
  <si>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</si>
  <si>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</si>
  <si>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</si>
  <si>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</si>
  <si>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</si>
  <si>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</si>
  <si>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</si>
  <si>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</si>
  <si>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</si>
  <si>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</si>
  <si>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</si>
  <si>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</si>
  <si>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</si>
  <si>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</si>
  <si>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</si>
  <si>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</si>
  <si>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</si>
  <si>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</si>
  <si>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</si>
  <si>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</si>
  <si>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</si>
  <si>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</si>
  <si>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</si>
  <si>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</si>
  <si>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</si>
  <si>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</si>
  <si>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</si>
  <si>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</si>
  <si>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</si>
  <si>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</si>
  <si>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预备费</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</si>
  <si>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</si>
  <si>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</si>
  <si>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</si>
  <si>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</si>
  <si>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</si>
  <si>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</si>
  <si>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</si>
  <si>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</si>
  <si>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 xml:space="preserve">  其他支出</t>
  </si>
  <si>
    <t xml:space="preserve">    年初预留</t>
  </si>
  <si>
    <t>2021年市级一般公共预算支出经济分类预算表</t>
  </si>
  <si>
    <t>表十</t>
  </si>
  <si>
    <t>项目</t>
  </si>
  <si>
    <t>机关工资福利支出</t>
  </si>
  <si>
    <t>机关商品和服务支出</t>
  </si>
  <si>
    <t>机关资本性支出（一）</t>
  </si>
  <si>
    <t>机关资本性支出（二）</t>
  </si>
  <si>
    <t>对事业单位经常性补助</t>
  </si>
  <si>
    <t>对事业单位资本性补助</t>
  </si>
  <si>
    <t>对企业补助</t>
  </si>
  <si>
    <t>对个人和家庭的补助</t>
  </si>
  <si>
    <t>对社会保障基金补助</t>
  </si>
  <si>
    <t>债务利息及费用支出</t>
  </si>
  <si>
    <t>其他支出</t>
  </si>
  <si>
    <t>小计</t>
  </si>
  <si>
    <t>工资奖金津补贴</t>
  </si>
  <si>
    <t>社会保障缴费</t>
  </si>
  <si>
    <t>住房公积金</t>
  </si>
  <si>
    <t>其他工资福利支出</t>
  </si>
  <si>
    <t>办公经费</t>
  </si>
  <si>
    <t>会议费</t>
  </si>
  <si>
    <t>培训费</t>
  </si>
  <si>
    <t>专用材料购置费</t>
  </si>
  <si>
    <t>委托
业务费</t>
  </si>
  <si>
    <t>公务接待费</t>
  </si>
  <si>
    <t>因公
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</si>
  <si>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</si>
  <si>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</si>
  <si>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</si>
  <si>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</si>
  <si>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</si>
  <si>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</si>
  <si>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</si>
  <si>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</si>
  <si>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</si>
  <si>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</si>
  <si>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</si>
  <si>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</si>
  <si>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其他对事业单位经常性补助</t>
  </si>
  <si>
    <t>资本性支出（一）</t>
  </si>
  <si>
    <t>资本性支出（二）</t>
  </si>
  <si>
    <t>费用
补贴</t>
  </si>
  <si>
    <t>利息补贴</t>
  </si>
  <si>
    <t>其他对企业补助</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</si>
  <si>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</si>
  <si>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</si>
  <si>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</si>
  <si>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</si>
  <si>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</si>
  <si>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</si>
  <si>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</si>
  <si>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</si>
  <si>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</si>
  <si>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</si>
  <si>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</si>
  <si>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</si>
  <si>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</si>
  <si>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</si>
  <si>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其他
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</si>
  <si>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</si>
  <si>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</si>
  <si>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</si>
  <si>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</si>
  <si>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</si>
  <si>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</si>
  <si>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</si>
  <si>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</si>
  <si>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</si>
  <si>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</si>
  <si>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</si>
  <si>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</si>
  <si>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</si>
  <si>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</si>
  <si>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</si>
  <si>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</si>
  <si>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</si>
  <si>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</si>
  <si>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</si>
  <si>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</si>
  <si>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债务发行费用支出</t>
  </si>
  <si>
    <t>2021年市级一般公共预算基本支出表</t>
  </si>
  <si>
    <t>表十一</t>
  </si>
  <si>
    <t>住房
公积金</t>
  </si>
  <si>
    <t>委托业务费</t>
  </si>
  <si>
    <t>2021年市级一般公共预算税收返还和转移支付预算表</t>
  </si>
  <si>
    <t>表十二</t>
  </si>
  <si>
    <t>2021年预算数</t>
  </si>
  <si>
    <t>市本级</t>
  </si>
  <si>
    <t>补助区县</t>
  </si>
  <si>
    <t>一、税收返还</t>
  </si>
  <si>
    <t>二、一般性转移支付</t>
  </si>
  <si>
    <t>三、专项转移支付</t>
  </si>
  <si>
    <t>补助合计</t>
  </si>
  <si>
    <t xml:space="preserve"> 2021年一般公共预算专项转移支付预算表</t>
  </si>
  <si>
    <t>表十三</t>
  </si>
  <si>
    <t>全市</t>
  </si>
  <si>
    <t>市级</t>
  </si>
  <si>
    <t>耀州</t>
  </si>
  <si>
    <t>宜君</t>
  </si>
  <si>
    <t>印台</t>
  </si>
  <si>
    <t>王益</t>
  </si>
  <si>
    <t>新区</t>
  </si>
  <si>
    <t xml:space="preserve">  一、一般公共服务支出</t>
  </si>
  <si>
    <t>人大事务</t>
  </si>
  <si>
    <t>政协事务</t>
  </si>
  <si>
    <t>政府办公厅（室）及相关机构事务</t>
  </si>
  <si>
    <t>发展与改革事务</t>
  </si>
  <si>
    <t>统计信息事务</t>
  </si>
  <si>
    <t>财政事务</t>
  </si>
  <si>
    <t>审计事务</t>
  </si>
  <si>
    <t>纪检监察事务</t>
  </si>
  <si>
    <t>商贸事务</t>
  </si>
  <si>
    <t>知识产权事务</t>
  </si>
  <si>
    <t>民族事务</t>
  </si>
  <si>
    <t>档案事务</t>
  </si>
  <si>
    <t>群众团体事务</t>
  </si>
  <si>
    <t>组织事务</t>
  </si>
  <si>
    <t>市场监督管理事务</t>
  </si>
  <si>
    <t>其他一般公共服务支出</t>
  </si>
  <si>
    <t xml:space="preserve">  二、国防支出</t>
  </si>
  <si>
    <t>国防动员</t>
  </si>
  <si>
    <t>其他国防支出</t>
  </si>
  <si>
    <t xml:space="preserve">  三、公共安全支出</t>
  </si>
  <si>
    <t>公安</t>
  </si>
  <si>
    <t>检查</t>
  </si>
  <si>
    <t>法院</t>
  </si>
  <si>
    <t>司法</t>
  </si>
  <si>
    <t>其他公共安全支出</t>
  </si>
  <si>
    <t xml:space="preserve">  四、教育支出</t>
  </si>
  <si>
    <t>普通教育</t>
  </si>
  <si>
    <t>职业教育</t>
  </si>
  <si>
    <t>特殊教育</t>
  </si>
  <si>
    <t>进修及培训</t>
  </si>
  <si>
    <t>教育费附加安排的支出</t>
  </si>
  <si>
    <t>其他教育支出</t>
  </si>
  <si>
    <t xml:space="preserve">  五、科学技术支出</t>
  </si>
  <si>
    <t>技术条件与服务</t>
  </si>
  <si>
    <t>科学技术普及</t>
  </si>
  <si>
    <t xml:space="preserve">  六、文化旅游体育与传媒支出</t>
  </si>
  <si>
    <t>文化和旅游</t>
  </si>
  <si>
    <t>文物</t>
  </si>
  <si>
    <t>体育</t>
  </si>
  <si>
    <t>广播影视</t>
  </si>
  <si>
    <t>其他文化体育与传媒支出</t>
  </si>
  <si>
    <t xml:space="preserve">  七、社会保障和就业支出</t>
  </si>
  <si>
    <t>人力资源和社会保障管理事务</t>
  </si>
  <si>
    <t>民政管理事务</t>
  </si>
  <si>
    <t>行政事业单位离退休</t>
  </si>
  <si>
    <t>就业补助</t>
  </si>
  <si>
    <t>抚恤</t>
  </si>
  <si>
    <t>退役安置</t>
  </si>
  <si>
    <t>社会福利</t>
  </si>
  <si>
    <t>残疾人事业</t>
  </si>
  <si>
    <t>最低生活保障</t>
  </si>
  <si>
    <t>临时救助</t>
  </si>
  <si>
    <t>特困人员救助供养</t>
  </si>
  <si>
    <t>财政对基本养老保险基金的补助</t>
  </si>
  <si>
    <t>其他社会保障和就业支出</t>
  </si>
  <si>
    <t xml:space="preserve">  八、卫生健康支出</t>
  </si>
  <si>
    <t>公立医院</t>
  </si>
  <si>
    <t>基层医疗卫生机构</t>
  </si>
  <si>
    <t>公共卫生</t>
  </si>
  <si>
    <t>中医药</t>
  </si>
  <si>
    <t>计划生育事务</t>
  </si>
  <si>
    <t>财政对基本医疗保险基金的补助</t>
  </si>
  <si>
    <t>医疗救助</t>
  </si>
  <si>
    <t>优抚对象医疗</t>
  </si>
  <si>
    <t>医疗保障管理事务</t>
  </si>
  <si>
    <t>老龄卫生健康事务</t>
  </si>
  <si>
    <t>其他卫生健康支出</t>
  </si>
  <si>
    <t xml:space="preserve">  九、节能环保支出</t>
  </si>
  <si>
    <t>污染防治</t>
  </si>
  <si>
    <t>自然生态保护</t>
  </si>
  <si>
    <t>天然林保护</t>
  </si>
  <si>
    <t>退耕还林还草</t>
  </si>
  <si>
    <t>能源节约利用</t>
  </si>
  <si>
    <t>污染减排</t>
  </si>
  <si>
    <t>循环经济</t>
  </si>
  <si>
    <t>其他节能环保支出</t>
  </si>
  <si>
    <t xml:space="preserve">  十、城乡社区支出</t>
  </si>
  <si>
    <t>城乡社区管理事务</t>
  </si>
  <si>
    <t>城乡社区公共设施</t>
  </si>
  <si>
    <t>城乡社区环境卫生</t>
  </si>
  <si>
    <t>其他城乡社区支出</t>
  </si>
  <si>
    <t xml:space="preserve">  十一、农林水支出</t>
  </si>
  <si>
    <t>农业农村</t>
  </si>
  <si>
    <t>林业和草原</t>
  </si>
  <si>
    <t>水利</t>
  </si>
  <si>
    <t>扶贫</t>
  </si>
  <si>
    <t>农村综合改革</t>
  </si>
  <si>
    <t>普惠金融发展支出</t>
  </si>
  <si>
    <t>其他农林水支出</t>
  </si>
  <si>
    <t xml:space="preserve">  十二、交通运输支出</t>
  </si>
  <si>
    <t>公路水路运输</t>
  </si>
  <si>
    <t>成品油价格改革对交通运输的补贴</t>
  </si>
  <si>
    <t>车辆购置税支出</t>
  </si>
  <si>
    <t xml:space="preserve">  十三、资源勘探信息等支出</t>
  </si>
  <si>
    <t>制造业</t>
  </si>
  <si>
    <t>工业和信息产业监督</t>
  </si>
  <si>
    <t>国有资产监管</t>
  </si>
  <si>
    <t>支持中小企业发展和管理支出</t>
  </si>
  <si>
    <t>其他资源勘探信息等支出</t>
  </si>
  <si>
    <t xml:space="preserve">  十四、商业服务业等支出</t>
  </si>
  <si>
    <t>商业流通事务</t>
  </si>
  <si>
    <t>涉外发展服务支出</t>
  </si>
  <si>
    <t>其他商业服务业等支出</t>
  </si>
  <si>
    <t xml:space="preserve">  十五、金融支出</t>
  </si>
  <si>
    <t>金融发展支出</t>
  </si>
  <si>
    <t>其他金融支出</t>
  </si>
  <si>
    <t xml:space="preserve">  十六、自然资源海洋气象等支出</t>
  </si>
  <si>
    <t>自然资源事务</t>
  </si>
  <si>
    <t>其他自然资源海洋气象等支出</t>
  </si>
  <si>
    <t xml:space="preserve">  十七、住房保障支出</t>
  </si>
  <si>
    <t>保障性安居工程支出</t>
  </si>
  <si>
    <t xml:space="preserve">  十八、粮油物资储备支出</t>
  </si>
  <si>
    <t>重要商品储备</t>
  </si>
  <si>
    <t xml:space="preserve">  十九、灾害防治及应急管理支出</t>
  </si>
  <si>
    <t>应急管理事务</t>
  </si>
  <si>
    <t>自然灾害防治</t>
  </si>
  <si>
    <t>自然灾害救灾及恢复重建支出</t>
  </si>
  <si>
    <t>其他灾害防治及应急管理支出</t>
  </si>
  <si>
    <t xml:space="preserve">  二十、其他支出其他支出</t>
  </si>
  <si>
    <t xml:space="preserve"> 2021年市级“三公”经费支出预算对比表</t>
  </si>
  <si>
    <t>表十四</t>
  </si>
  <si>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</si>
  <si>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t>2020年预算数</t>
  </si>
  <si>
    <t>因公出国（境）费</t>
  </si>
  <si>
    <t>公务用车购置费</t>
  </si>
  <si>
    <t>公务用车运行</t>
  </si>
  <si>
    <t>总  计</t>
  </si>
  <si>
    <t>2020年全市政府性基金预算收入执行情况表</t>
  </si>
  <si>
    <t>表十五</t>
  </si>
  <si>
    <t>2019年决算数</t>
  </si>
  <si>
    <t>2020年执行数</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</si>
  <si>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</si>
  <si>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</si>
  <si>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</si>
  <si>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</si>
  <si>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</si>
  <si>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</si>
  <si>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</si>
  <si>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</si>
  <si>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</si>
  <si>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</si>
  <si>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</si>
  <si>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</si>
  <si>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彩票发行机构和彩票销售机构的业务费用</t>
  </si>
  <si>
    <t>其他政府性基金收入</t>
  </si>
  <si>
    <t>2019年主要是清理保障性住房商品配建房销售收入</t>
  </si>
  <si>
    <t>上级财政补助收入</t>
  </si>
  <si>
    <t>2020年全市政府性基金预算支出执行情况表</t>
  </si>
  <si>
    <t>表十六</t>
  </si>
  <si>
    <t>资源勘探信息等支出</t>
  </si>
  <si>
    <t>抗疫特别国债安排的支出</t>
  </si>
  <si>
    <t>2020年新增科目</t>
  </si>
  <si>
    <t>2020年市级政府性基金预算收入执行情况表</t>
  </si>
  <si>
    <t>表十七</t>
  </si>
  <si>
    <t>2020年市级政府性基金预算支出执行情况表</t>
  </si>
  <si>
    <t>表十八</t>
  </si>
  <si>
    <t>2021年全市政府性基金预算收入预算表</t>
  </si>
  <si>
    <t>表十九</t>
  </si>
  <si>
    <t>预算数
比上年预算数±%</t>
  </si>
  <si>
    <t>耀州区</t>
  </si>
  <si>
    <t>专项债券对应项目专项收入</t>
  </si>
  <si>
    <t xml:space="preserve">  政府性基金转移收入</t>
  </si>
  <si>
    <t>上年结余</t>
  </si>
  <si>
    <t>2021年全市政府性基金预算支出预算表</t>
  </si>
  <si>
    <t>表二十</t>
  </si>
  <si>
    <t xml:space="preserve">    调出资金</t>
  </si>
  <si>
    <t xml:space="preserve">        政府性基金预算调出资金</t>
  </si>
  <si>
    <t>2021年市级政府性基金预算收入预算表</t>
  </si>
  <si>
    <t>表二十一</t>
  </si>
  <si>
    <t xml:space="preserve">    政府性基金补助收入</t>
  </si>
  <si>
    <t>2021年市级政府性基金预算支出预算总表</t>
  </si>
  <si>
    <t>表二十二</t>
  </si>
  <si>
    <t xml:space="preserve">    政府性基金转移支付</t>
  </si>
  <si>
    <t xml:space="preserve">        政府性基金补助支出</t>
  </si>
  <si>
    <t>2021年市级政府性基金预算支出预算表</t>
  </si>
  <si>
    <t>表二十三</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</si>
  <si>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</si>
  <si>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</si>
  <si>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</si>
  <si>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</si>
  <si>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</si>
  <si>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</si>
  <si>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</si>
  <si>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</si>
  <si>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</si>
  <si>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</si>
  <si>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</si>
  <si>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</si>
  <si>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</si>
  <si>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</si>
  <si>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</si>
  <si>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</si>
  <si>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</si>
  <si>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</si>
  <si>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</si>
  <si>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</si>
  <si>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</si>
  <si>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</si>
  <si>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</si>
  <si>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</si>
  <si>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</si>
  <si>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</si>
  <si>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</si>
  <si>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</si>
  <si>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</si>
  <si>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</si>
  <si>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</si>
  <si>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</si>
  <si>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</si>
  <si>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</si>
  <si>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</si>
  <si>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</si>
  <si>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</si>
  <si>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</si>
  <si>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</si>
  <si>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</si>
  <si>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</si>
  <si>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</si>
  <si>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</si>
  <si>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</si>
  <si>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</si>
  <si>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</si>
  <si>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</si>
  <si>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</si>
  <si>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</si>
  <si>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</si>
  <si>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</si>
  <si>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</si>
  <si>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</si>
  <si>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</si>
  <si>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</si>
  <si>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</si>
  <si>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</si>
  <si>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</si>
  <si>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</si>
  <si>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</si>
  <si>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</si>
  <si>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</si>
  <si>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</si>
  <si>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</si>
  <si>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</si>
  <si>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</si>
  <si>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</si>
  <si>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</si>
  <si>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</si>
  <si>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</si>
  <si>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</si>
  <si>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</si>
  <si>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</si>
  <si>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</si>
  <si>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</si>
  <si>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</si>
  <si>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</si>
  <si>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</si>
  <si>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</si>
  <si>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</si>
  <si>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</si>
  <si>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</si>
  <si>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</si>
  <si>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</si>
  <si>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</si>
  <si>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</si>
  <si>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</si>
  <si>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</si>
  <si>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</si>
  <si>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</si>
  <si>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</si>
  <si>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</si>
  <si>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</si>
  <si>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</si>
  <si>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</si>
  <si>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</si>
  <si>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</si>
  <si>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</si>
  <si>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</si>
  <si>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</si>
  <si>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</si>
  <si>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</si>
  <si>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</si>
  <si>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</si>
  <si>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</si>
  <si>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</si>
  <si>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</si>
  <si>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</si>
  <si>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</si>
  <si>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</si>
  <si>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</si>
  <si>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</si>
  <si>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</si>
  <si>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</si>
  <si>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</si>
  <si>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</si>
  <si>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</si>
  <si>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</si>
  <si>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</si>
  <si>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</si>
  <si>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</si>
  <si>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</si>
  <si>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</si>
  <si>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</si>
  <si>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</si>
  <si>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</si>
  <si>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</si>
  <si>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</si>
  <si>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</si>
  <si>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</si>
  <si>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</si>
  <si>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</si>
  <si>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</si>
  <si>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</si>
  <si>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</si>
  <si>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</si>
  <si>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</si>
  <si>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</si>
  <si>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</si>
  <si>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</si>
  <si>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</si>
  <si>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</si>
  <si>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</si>
  <si>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</si>
  <si>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</si>
  <si>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</si>
  <si>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</si>
  <si>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</si>
  <si>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</si>
  <si>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</si>
  <si>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</si>
  <si>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</si>
  <si>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</si>
  <si>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</si>
  <si>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</si>
  <si>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</si>
  <si>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</si>
  <si>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</si>
  <si>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</si>
  <si>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</si>
  <si>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</si>
  <si>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</si>
  <si>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</si>
  <si>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</si>
  <si>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</si>
  <si>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</si>
  <si>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</si>
  <si>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</si>
  <si>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</si>
  <si>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</si>
  <si>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</si>
  <si>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</si>
  <si>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</si>
  <si>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</si>
  <si>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</si>
  <si>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</si>
  <si>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</si>
  <si>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</si>
  <si>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</si>
  <si>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</si>
  <si>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</si>
  <si>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</si>
  <si>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</si>
  <si>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</si>
  <si>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</si>
  <si>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</si>
  <si>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</si>
  <si>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</si>
  <si>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</si>
  <si>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</si>
  <si>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</si>
  <si>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</si>
  <si>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</si>
  <si>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</si>
  <si>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</si>
  <si>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</si>
  <si>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</si>
  <si>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</si>
  <si>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</si>
  <si>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</si>
  <si>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</si>
  <si>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</si>
  <si>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</si>
  <si>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</si>
  <si>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</si>
  <si>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</si>
  <si>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 xml:space="preserve"> 2021年政府性基金预算专项转移支付预算表</t>
  </si>
  <si>
    <t>表二十四</t>
  </si>
  <si>
    <t>本级</t>
  </si>
  <si>
    <t>一、社会保障和就业支出</t>
  </si>
  <si>
    <t xml:space="preserve">       移民补助（大中型水库移民后期扶持基金支出）</t>
  </si>
  <si>
    <t>二、城乡社区支出</t>
  </si>
  <si>
    <t>三、资源勘探信息等支出</t>
  </si>
  <si>
    <t>四、其他支出</t>
  </si>
  <si>
    <t xml:space="preserve">        福利彩票销售机构的业务费支出</t>
  </si>
  <si>
    <t xml:space="preserve">    彩票公益金及对应专项债务收入安排的支出</t>
  </si>
  <si>
    <t xml:space="preserve">        用于社会福利的彩票公益金支出</t>
  </si>
  <si>
    <t xml:space="preserve">        用于体育事业的彩票公益金支出</t>
  </si>
  <si>
    <t>2020年全市国有资本经营预算收入执行情况表</t>
  </si>
  <si>
    <t>表二十五</t>
  </si>
  <si>
    <t>执行数
比上年
±%</t>
  </si>
  <si>
    <t>利润收入</t>
  </si>
  <si>
    <t>其他国有资本经营预算收入</t>
  </si>
  <si>
    <t>上级补助收入</t>
  </si>
  <si>
    <t>2020年全市国有资本经营预算支出执行情况表</t>
  </si>
  <si>
    <t>表二十六</t>
  </si>
  <si>
    <t>项      目</t>
  </si>
  <si>
    <t>执行数
比上年%</t>
  </si>
  <si>
    <t>解决历史遗留问题及改革成本支出</t>
  </si>
  <si>
    <t>国有企业资本金注入</t>
  </si>
  <si>
    <t>其他国有资本经营预算支出</t>
  </si>
  <si>
    <t>调出资金</t>
  </si>
  <si>
    <t>结转下年使用</t>
  </si>
  <si>
    <t>2020年市级国有资本经营预算收入执行情况表</t>
  </si>
  <si>
    <t>表二十七</t>
  </si>
  <si>
    <t>2020年市级国有资本经营预算支出执行情况表</t>
  </si>
  <si>
    <t>表二十八</t>
  </si>
  <si>
    <t>2017年
决算数</t>
  </si>
  <si>
    <t>一、解决历史遗留问题及改革成本支出</t>
  </si>
  <si>
    <t xml:space="preserve">      “三供一业”移交补助支出</t>
  </si>
  <si>
    <t xml:space="preserve">      国有企业改革成本支出</t>
  </si>
  <si>
    <t>二、国有企业资本金注入</t>
  </si>
  <si>
    <t xml:space="preserve">      其他国有企业资本金注入</t>
  </si>
  <si>
    <t>三、国有企业政策性补贴</t>
  </si>
  <si>
    <t>四、其他国有资本经营预算支出</t>
  </si>
  <si>
    <t xml:space="preserve">      其他国有资本经营预算支出</t>
  </si>
  <si>
    <t>国有资本经营预算调出资金</t>
  </si>
  <si>
    <t>2021年全市国有资本经营收入预算表</t>
  </si>
  <si>
    <t>表二十九</t>
  </si>
  <si>
    <t>股利、股息收入</t>
  </si>
  <si>
    <t xml:space="preserve">   上级补助收入</t>
  </si>
  <si>
    <t>上年结转</t>
  </si>
  <si>
    <t>2021年全市国有资本经营支出预算表</t>
  </si>
  <si>
    <t>表三十</t>
  </si>
  <si>
    <t xml:space="preserve">    国有资本经营预算转移支付</t>
  </si>
  <si>
    <t xml:space="preserve">       国有资本经营预算转移支付支出</t>
  </si>
  <si>
    <t>结转下年支出</t>
  </si>
  <si>
    <t>2021年市级国有资本经营收入预算表</t>
  </si>
  <si>
    <t>表三十一</t>
  </si>
  <si>
    <t>2021年市级国有资本经营支出预算表</t>
  </si>
  <si>
    <t>表三十二</t>
  </si>
  <si>
    <t>三、其他国有资本经营预算支出</t>
  </si>
  <si>
    <t>2021年国有资本经营预算专项转移支付预算表</t>
  </si>
  <si>
    <t>表三十三</t>
  </si>
  <si>
    <t>合     计</t>
  </si>
  <si>
    <t>2020年全市社会保险基金收支执行情况表</t>
  </si>
  <si>
    <t>表三十四</t>
  </si>
  <si>
    <t>收入</t>
  </si>
  <si>
    <t>支出</t>
  </si>
  <si>
    <t>累计结余</t>
  </si>
  <si>
    <t>执行数</t>
  </si>
  <si>
    <t>一、城乡居民基本养老保险基金</t>
  </si>
  <si>
    <t>二、机关事业单位基本养老保险基金</t>
  </si>
  <si>
    <t>三、城镇职工基本医疗保险基金</t>
  </si>
  <si>
    <t>四、城乡居民基本医疗保险基金</t>
  </si>
  <si>
    <t>五、工伤保险基金</t>
  </si>
  <si>
    <t>六、失业保险基金</t>
  </si>
  <si>
    <t>2020年市级社会保险基金收支执行情况表</t>
  </si>
  <si>
    <t>表三十五</t>
  </si>
  <si>
    <t>2021年全市社会保险基金收入预算表</t>
  </si>
  <si>
    <t>表三十六</t>
  </si>
  <si>
    <t>三、城镇职工基本医疗保险(含生育保险)基金</t>
  </si>
  <si>
    <t xml:space="preserve">  动用上年结余</t>
  </si>
  <si>
    <t>2021年全市社会保险基金支出预算表</t>
  </si>
  <si>
    <t>表三十七</t>
  </si>
  <si>
    <t>本年收支结余</t>
  </si>
  <si>
    <t>2021年市级社会保险基金收入预算表</t>
  </si>
  <si>
    <t>表三十八</t>
  </si>
  <si>
    <t>2021年市级社会保险基金支出预算表</t>
  </si>
  <si>
    <t>表三十九</t>
  </si>
  <si>
    <t>2020年底政府性债务余额情况表</t>
  </si>
  <si>
    <t>表四十</t>
  </si>
  <si>
    <t>区  域</t>
  </si>
  <si>
    <t>政府债务限额</t>
  </si>
  <si>
    <t>政府性债务合计</t>
  </si>
  <si>
    <t>政府债务</t>
  </si>
  <si>
    <t>政府或有债务</t>
  </si>
  <si>
    <t>一般债务</t>
  </si>
  <si>
    <t>专项债务</t>
  </si>
  <si>
    <t>全  市</t>
  </si>
  <si>
    <t>新  区</t>
  </si>
  <si>
    <t>王益区</t>
  </si>
  <si>
    <t>印台区</t>
  </si>
  <si>
    <t>宜君县</t>
  </si>
  <si>
    <t>2020年政府一般债务限额和余额情况表</t>
  </si>
  <si>
    <t>表四十一</t>
  </si>
  <si>
    <t>一般债务限额</t>
  </si>
  <si>
    <t>一般债务余额</t>
  </si>
  <si>
    <t>备 注</t>
  </si>
  <si>
    <r>
      <rPr>
        <sz val="11"/>
        <rFont val="宋体"/>
        <family val="3"/>
        <charset val="134"/>
      </rPr>
      <t xml:space="preserve">全 </t>
    </r>
    <r>
      <rPr>
        <sz val="11"/>
        <rFont val="宋体"/>
        <family val="3"/>
        <charset val="134"/>
      </rPr>
      <t xml:space="preserve"> </t>
    </r>
    <r>
      <rPr>
        <sz val="11"/>
        <rFont val="宋体"/>
        <family val="3"/>
        <charset val="134"/>
      </rPr>
      <t>市</t>
    </r>
  </si>
  <si>
    <t>2020年政府专项债务限额和余额情况表</t>
  </si>
  <si>
    <t>表四十二</t>
  </si>
  <si>
    <t>专项债务限额</t>
  </si>
  <si>
    <t>专项债务余额</t>
  </si>
  <si>
    <t>办公
经费</t>
    <phoneticPr fontId="54" type="noConversion"/>
  </si>
  <si>
    <t>因公
出国（境）费用</t>
    <phoneticPr fontId="54" type="noConversion"/>
  </si>
  <si>
    <t>城乡社区支出</t>
    <phoneticPr fontId="54" type="noConversion"/>
  </si>
  <si>
    <t>其他支出</t>
    <phoneticPr fontId="54" type="noConversion"/>
  </si>
  <si>
    <t>支出总计</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</si>
</sst>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77" formatCode="#,##0_ "/>
    <numFmt numFmtId="178" formatCode="#,##0.0_ "/>
    <numFmt numFmtId="179" formatCode="0_);[Red]\(0\)"/>
    <numFmt numFmtId="180" formatCode="0.00000"/>
    <numFmt numFmtId="181" formatCode="0.00000_ "/>
    <numFmt numFmtId="182" formatCode="#,##0_);[Red]\(#,##0\)"/>
    <numFmt numFmtId="183" formatCode="0.00_);[Red]\(0.00\)"/>
    <numFmt numFmtId="184" formatCode="0;_"/>
    <numFmt numFmtId="185" formatCode="0.00_ "/>
    <numFmt numFmtId="186" formatCode="#,##0_ ;[Red]\-#,##0\ "/>
    <numFmt numFmtId="187" formatCode="#,##0.00_ "/>
    <numFmt numFmtId="189" formatCode="###,###,##0"/>
    <numFmt numFmtId="190" formatCode="0.0_ "/>
    <numFmt numFmtId="191" formatCode="_ * #,##0_ ;_ * \-#,##0_ ;_ * &quot;-&quot;??_ ;_ @_ "/>
    <numFmt numFmtId="192" formatCode="0_ "/>
  </numFmts>
  <fonts count="55">
    <font>
      <sz val="12"/>
      <name val="宋体"/>
      <charset val="134"/>
    </font>
    <font>
      <sz val="12"/>
      <name val="方正小标宋简体"/>
      <family val="3"/>
      <charset val="134"/>
    </font>
    <font>
      <sz val="18"/>
      <name val="方正小标宋简体"/>
      <family val="3"/>
      <charset val="134"/>
    </font>
    <font>
      <sz val="11"/>
      <name val="楷体"/>
      <family val="3"/>
      <charset val="134"/>
    </font>
    <font>
      <sz val="11"/>
      <name val="宋体"/>
      <family val="3"/>
      <charset val="134"/>
    </font>
    <font>
      <b/>
      <sz val="11"/>
      <name val="黑体"/>
      <family val="3"/>
      <charset val="134"/>
    </font>
    <font>
      <sz val="11"/>
      <name val="仿宋"/>
      <family val="3"/>
      <charset val="134"/>
    </font>
    <font>
      <b/>
      <sz val="11"/>
      <name val="宋体"/>
      <family val="3"/>
      <charset val="134"/>
    </font>
    <font>
      <sz val="11"/>
      <name val="SimSun"/>
      <charset val="134"/>
    </font>
    <font>
      <sz val="12"/>
      <name val="楷体"/>
      <family val="3"/>
      <charset val="134"/>
    </font>
    <font>
      <sz val="11"/>
      <name val="Times New Roman"/>
      <family val="1"/>
    </font>
    <font>
      <b/>
      <sz val="11"/>
      <name val="Times New Roman"/>
      <family val="1"/>
    </font>
    <font>
      <b/>
      <sz val="12"/>
      <name val="宋体"/>
      <family val="3"/>
      <charset val="134"/>
    </font>
    <font>
      <sz val="12"/>
      <name val="仿宋"/>
      <family val="3"/>
      <charset val="134"/>
    </font>
    <font>
      <sz val="10"/>
      <name val="楷体"/>
      <family val="3"/>
      <charset val="134"/>
    </font>
    <font>
      <sz val="10"/>
      <name val="Helv"/>
      <family val="2"/>
    </font>
    <font>
      <b/>
      <sz val="12"/>
      <name val="黑体"/>
      <family val="3"/>
      <charset val="134"/>
    </font>
    <font>
      <sz val="12"/>
      <name val="Times New Roman"/>
      <family val="1"/>
    </font>
    <font>
      <b/>
      <sz val="10"/>
      <color indexed="8"/>
      <name val="宋体"/>
      <family val="3"/>
      <charset val="134"/>
    </font>
    <font>
      <sz val="11"/>
      <color indexed="8"/>
      <name val="宋体"/>
      <family val="3"/>
      <charset val="134"/>
    </font>
    <font>
      <b/>
      <sz val="11"/>
      <color indexed="8"/>
      <name val="黑体"/>
      <family val="3"/>
      <charset val="134"/>
    </font>
    <font>
      <b/>
      <sz val="11"/>
      <color indexed="8"/>
      <name val="宋体"/>
      <family val="3"/>
      <charset val="134"/>
    </font>
    <font>
      <sz val="9"/>
      <name val="宋体"/>
      <family val="3"/>
      <charset val="134"/>
    </font>
    <font>
      <sz val="10"/>
      <name val="宋体"/>
      <family val="3"/>
      <charset val="134"/>
    </font>
    <font>
      <b/>
      <sz val="12"/>
      <name val="楷体"/>
      <family val="3"/>
      <charset val="134"/>
    </font>
    <font>
      <sz val="10"/>
      <name val="Times New Roman"/>
      <family val="1"/>
    </font>
    <font>
      <b/>
      <sz val="10"/>
      <name val="Times New Roman"/>
      <family val="1"/>
    </font>
    <font>
      <sz val="12"/>
      <name val="黑体"/>
      <family val="3"/>
      <charset val="134"/>
    </font>
    <font>
      <sz val="10"/>
      <name val="仿宋_GB2312"/>
      <family val="3"/>
      <charset val="134"/>
    </font>
    <font>
      <sz val="12"/>
      <color indexed="8"/>
      <name val="宋体"/>
      <family val="3"/>
      <charset val="134"/>
    </font>
    <font>
      <sz val="10"/>
      <color indexed="8"/>
      <name val="宋体"/>
      <family val="3"/>
      <charset val="134"/>
    </font>
    <font>
      <b/>
      <sz val="12"/>
      <color indexed="8"/>
      <name val="宋体"/>
      <family val="3"/>
      <charset val="134"/>
    </font>
    <font>
      <sz val="12"/>
      <color indexed="8"/>
      <name val="方正小标宋简体"/>
      <family val="3"/>
      <charset val="134"/>
    </font>
    <font>
      <b/>
      <sz val="10"/>
      <color indexed="8"/>
      <name val="仿宋"/>
      <family val="3"/>
      <charset val="134"/>
    </font>
    <font>
      <sz val="10"/>
      <color indexed="8"/>
      <name val="仿宋"/>
      <family val="3"/>
      <charset val="134"/>
    </font>
    <font>
      <b/>
      <sz val="18"/>
      <name val="宋体"/>
      <family val="3"/>
      <charset val="134"/>
    </font>
    <font>
      <b/>
      <sz val="10"/>
      <name val="宋体"/>
      <family val="3"/>
      <charset val="134"/>
    </font>
    <font>
      <b/>
      <sz val="10"/>
      <color indexed="8"/>
      <name val="Verdana"/>
      <family val="2"/>
    </font>
    <font>
      <b/>
      <sz val="10"/>
      <name val="黑体"/>
      <family val="3"/>
      <charset val="134"/>
    </font>
    <font>
      <sz val="10"/>
      <name val="仿宋"/>
      <family val="3"/>
      <charset val="134"/>
    </font>
    <font>
      <sz val="10"/>
      <name val="方正小标宋简体"/>
      <family val="3"/>
      <charset val="134"/>
    </font>
    <font>
      <b/>
      <sz val="9"/>
      <name val="宋体"/>
      <family val="3"/>
      <charset val="134"/>
    </font>
    <font>
      <sz val="10"/>
      <name val="彩虹粗仿宋"/>
      <family val="4"/>
      <charset val="134"/>
    </font>
    <font>
      <sz val="11"/>
      <name val="黑体"/>
      <family val="3"/>
      <charset val="134"/>
    </font>
    <font>
      <sz val="10"/>
      <name val="Arial"/>
      <family val="2"/>
    </font>
    <font>
      <sz val="11"/>
      <name val="楷体_GB2312"/>
      <family val="3"/>
      <charset val="134"/>
    </font>
    <font>
      <sz val="9"/>
      <name val="Times New Roman"/>
      <family val="1"/>
    </font>
    <font>
      <b/>
      <sz val="18"/>
      <name val="黑体"/>
      <family val="3"/>
      <charset val="134"/>
    </font>
    <font>
      <sz val="16"/>
      <name val="黑体"/>
      <family val="3"/>
      <charset val="134"/>
    </font>
    <font>
      <sz val="22"/>
      <name val="方正大标宋_GBK"/>
      <family val="4"/>
      <charset val="134"/>
    </font>
    <font>
      <sz val="14"/>
      <name val="黑体"/>
      <family val="3"/>
      <charset val="134"/>
    </font>
    <font>
      <i/>
      <sz val="12"/>
      <name val="宋体"/>
      <family val="3"/>
      <charset val="134"/>
    </font>
    <font>
      <b/>
      <sz val="12"/>
      <color indexed="8"/>
      <name val="Times New Roman"/>
      <family val="1"/>
    </font>
    <font>
      <sz val="12"/>
      <name val="宋体"/>
      <family val="3"/>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auto="1"/>
      </right>
      <top style="thin">
        <color auto="1"/>
      </top>
      <bottom style="thin">
        <color auto="1"/>
      </bottom>
      <diagonal/>
    </border>
    <border>
      <left style="thin">
        <color auto="1"/>
      </left>
      <right/>
      <top/>
      <bottom style="thin">
        <color auto="1"/>
      </bottom>
      <diagonal/>
    </border>
  </borders>
  <cellStyleXfs count="13">
    <xf numFmtId="0" fontId="0" fillId="0" borderId="0">
      <alignment vertical="center"/>
    </xf>
    <xf numFmtId="43" fontId="53" fillId="0" borderId="0" applyFont="0" applyFill="0" applyBorder="0" applyAlignment="0" applyProtection="0">
      <alignment vertical="center"/>
    </xf>
    <xf numFmtId="9" fontId="53" fillId="0" borderId="0" applyFont="0" applyFill="0" applyBorder="0" applyAlignment="0" applyProtection="0">
      <alignment vertical="center"/>
    </xf>
    <xf numFmtId="0" fontId="44" fillId="0" borderId="0" applyBorder="0">
      <alignment vertical="center"/>
    </xf>
    <xf numFmtId="0" fontId="53" fillId="0" borderId="0">
      <alignment vertical="center"/>
    </xf>
    <xf numFmtId="0" fontId="44" fillId="0" borderId="0" applyBorder="0">
      <alignment vertical="center"/>
    </xf>
    <xf numFmtId="0" fontId="4"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pplyBorder="0">
      <alignment vertical="center"/>
    </xf>
    <xf numFmtId="0" fontId="53" fillId="0" borderId="0">
      <alignment vertical="center"/>
    </xf>
  </cellStyleXfs>
  <cellXfs count="374">
    <xf numFmtId="0" fontId="0" fillId="0" borderId="0" xfId="0" applyAlignment="1"/>
    <xf numFmtId="0" fontId="1" fillId="0" borderId="0" xfId="0" applyFont="1" applyBorder="1" applyAlignment="1"/>
    <xf numFmtId="0" fontId="0" fillId="0" borderId="0" xfId="0" applyFont="1" applyBorder="1" applyAlignment="1">
      <alignment vertical="center"/>
    </xf>
    <xf numFmtId="0" fontId="0" fillId="0" borderId="0" xfId="0" applyFont="1" applyBorder="1" applyAlignment="1"/>
    <xf numFmtId="0" fontId="3" fillId="0" borderId="0" xfId="0" applyFont="1" applyFill="1" applyAlignment="1"/>
    <xf numFmtId="0" fontId="4" fillId="0" borderId="0" xfId="8" applyFont="1" applyAlignment="1" applyProtection="1">
      <alignment vertical="center"/>
      <protection locked="0"/>
    </xf>
    <xf numFmtId="0" fontId="0" fillId="0" borderId="0" xfId="12" applyFont="1" applyBorder="1" applyAlignment="1">
      <alignment vertical="center"/>
    </xf>
    <xf numFmtId="0" fontId="3" fillId="0" borderId="0" xfId="0" applyFont="1" applyFill="1" applyAlignment="1">
      <alignment horizontal="righ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Border="1" applyAlignment="1">
      <alignment horizontal="center" vertical="center" wrapText="1"/>
    </xf>
    <xf numFmtId="182" fontId="7" fillId="2" borderId="2" xfId="12" applyNumberFormat="1" applyFont="1" applyFill="1" applyBorder="1" applyAlignment="1">
      <alignment horizontal="center" vertical="center"/>
    </xf>
    <xf numFmtId="182" fontId="7" fillId="2" borderId="1" xfId="12" applyNumberFormat="1" applyFont="1" applyFill="1" applyBorder="1" applyAlignment="1">
      <alignment horizontal="center" vertical="center"/>
    </xf>
    <xf numFmtId="179" fontId="4" fillId="0" borderId="1" xfId="12" applyNumberFormat="1" applyFont="1" applyBorder="1" applyAlignment="1">
      <alignment vertical="center"/>
    </xf>
    <xf numFmtId="0" fontId="6" fillId="0" borderId="1" xfId="0" applyFont="1" applyBorder="1" applyAlignment="1">
      <alignment horizontal="center" vertical="center" wrapText="1"/>
    </xf>
    <xf numFmtId="182" fontId="4" fillId="0" borderId="2" xfId="12" applyNumberFormat="1" applyFont="1" applyBorder="1" applyAlignment="1">
      <alignment vertical="center"/>
    </xf>
    <xf numFmtId="182" fontId="4" fillId="0" borderId="1" xfId="12" applyNumberFormat="1" applyFont="1" applyBorder="1" applyAlignment="1">
      <alignment vertical="center"/>
    </xf>
    <xf numFmtId="0" fontId="5" fillId="0" borderId="0" xfId="0" applyFont="1" applyBorder="1" applyAlignment="1">
      <alignment horizontal="center" vertical="center" wrapText="1"/>
    </xf>
    <xf numFmtId="0" fontId="6" fillId="0" borderId="4" xfId="0" applyFont="1" applyBorder="1" applyAlignment="1">
      <alignment horizontal="center" vertical="center" wrapText="1"/>
    </xf>
    <xf numFmtId="182" fontId="4" fillId="0" borderId="1" xfId="12" applyNumberFormat="1" applyFont="1" applyBorder="1" applyAlignment="1">
      <alignment horizontal="right" vertical="center"/>
    </xf>
    <xf numFmtId="0" fontId="2" fillId="0" borderId="0" xfId="9" applyFont="1" applyFill="1" applyAlignment="1">
      <alignment vertical="center"/>
    </xf>
    <xf numFmtId="0" fontId="4" fillId="0" borderId="0" xfId="9" applyFont="1" applyFill="1" applyAlignment="1">
      <alignment vertical="center"/>
    </xf>
    <xf numFmtId="0" fontId="4" fillId="0" borderId="0" xfId="9" applyFont="1" applyFill="1" applyAlignment="1">
      <alignment horizontal="center" vertical="center"/>
    </xf>
    <xf numFmtId="0" fontId="4" fillId="0" borderId="0" xfId="10" applyFont="1" applyFill="1" applyAlignment="1" applyProtection="1">
      <alignment vertical="center"/>
      <protection locked="0"/>
    </xf>
    <xf numFmtId="0" fontId="4" fillId="0" borderId="0" xfId="9" applyFont="1" applyFill="1" applyBorder="1" applyAlignment="1">
      <alignment vertical="center"/>
    </xf>
    <xf numFmtId="177" fontId="7" fillId="2" borderId="1" xfId="9" applyNumberFormat="1" applyFont="1" applyFill="1" applyBorder="1" applyAlignment="1">
      <alignment horizontal="center" vertical="center"/>
    </xf>
    <xf numFmtId="177" fontId="4" fillId="2" borderId="1" xfId="9" applyNumberFormat="1" applyFont="1" applyFill="1" applyBorder="1" applyAlignment="1">
      <alignment horizontal="right" vertical="center"/>
    </xf>
    <xf numFmtId="177" fontId="8" fillId="2" borderId="1" xfId="7" applyNumberFormat="1" applyFont="1" applyFill="1" applyBorder="1" applyAlignment="1">
      <alignment horizontal="right" vertical="center" wrapText="1"/>
    </xf>
    <xf numFmtId="177" fontId="4" fillId="0" borderId="1" xfId="9" applyNumberFormat="1" applyFont="1" applyFill="1" applyBorder="1" applyAlignment="1">
      <alignment horizontal="right" vertical="center"/>
    </xf>
    <xf numFmtId="0" fontId="2" fillId="0" borderId="0" xfId="7" applyFont="1" applyAlignment="1">
      <alignment vertical="center"/>
    </xf>
    <xf numFmtId="0" fontId="0" fillId="0" borderId="0" xfId="0" applyFont="1" applyAlignment="1"/>
    <xf numFmtId="0" fontId="4" fillId="0" borderId="0" xfId="7" applyFont="1" applyAlignment="1">
      <alignment vertical="center"/>
    </xf>
    <xf numFmtId="0" fontId="4" fillId="0" borderId="0" xfId="7" applyFont="1" applyAlignment="1" applyProtection="1">
      <alignment vertical="center"/>
      <protection locked="0"/>
    </xf>
    <xf numFmtId="0" fontId="9" fillId="0" borderId="0" xfId="0" applyFont="1" applyAlignment="1">
      <alignment horizontal="right"/>
    </xf>
    <xf numFmtId="0" fontId="7" fillId="0" borderId="0" xfId="7" applyFont="1" applyAlignment="1">
      <alignment vertical="center" wrapText="1"/>
    </xf>
    <xf numFmtId="0" fontId="6" fillId="0" borderId="4" xfId="0" applyFont="1" applyBorder="1" applyAlignment="1">
      <alignment horizontal="left" vertical="center" wrapText="1"/>
    </xf>
    <xf numFmtId="177" fontId="10" fillId="0" borderId="1" xfId="11" applyNumberFormat="1" applyFont="1" applyFill="1" applyBorder="1" applyAlignment="1">
      <alignment horizontal="right" vertical="center" wrapText="1"/>
    </xf>
    <xf numFmtId="179" fontId="4" fillId="0" borderId="1" xfId="0" applyNumberFormat="1" applyFont="1" applyBorder="1" applyAlignment="1">
      <alignment vertical="center"/>
    </xf>
    <xf numFmtId="0" fontId="5" fillId="0" borderId="1" xfId="0" applyFont="1" applyBorder="1" applyAlignment="1">
      <alignment horizontal="center" vertical="center" wrapText="1"/>
    </xf>
    <xf numFmtId="177" fontId="11" fillId="0" borderId="2" xfId="11" applyNumberFormat="1" applyFont="1" applyFill="1" applyBorder="1" applyAlignment="1">
      <alignment horizontal="center" vertical="center" wrapText="1"/>
    </xf>
    <xf numFmtId="179" fontId="12" fillId="2" borderId="1" xfId="7" applyNumberFormat="1" applyFont="1" applyFill="1" applyBorder="1" applyAlignment="1">
      <alignment horizontal="center" vertical="center"/>
    </xf>
    <xf numFmtId="0" fontId="0" fillId="0" borderId="0" xfId="7" applyFont="1" applyAlignment="1">
      <alignment vertical="center"/>
    </xf>
    <xf numFmtId="179" fontId="4" fillId="0" borderId="1" xfId="0" applyNumberFormat="1" applyFont="1" applyFill="1" applyBorder="1" applyAlignment="1">
      <alignment vertical="center"/>
    </xf>
    <xf numFmtId="177" fontId="11" fillId="0" borderId="1" xfId="11" applyNumberFormat="1" applyFont="1" applyFill="1" applyBorder="1" applyAlignment="1">
      <alignment horizontal="center" vertical="center" wrapText="1"/>
    </xf>
    <xf numFmtId="0" fontId="4" fillId="0" borderId="0" xfId="7" applyFont="1" applyFill="1" applyAlignment="1">
      <alignment vertical="center"/>
    </xf>
    <xf numFmtId="0" fontId="6" fillId="0" borderId="4" xfId="0" applyFont="1" applyFill="1" applyBorder="1" applyAlignment="1">
      <alignment horizontal="left" vertical="center" wrapText="1"/>
    </xf>
    <xf numFmtId="177" fontId="11" fillId="0" borderId="2" xfId="11" applyNumberFormat="1" applyFont="1" applyFill="1" applyBorder="1" applyAlignment="1">
      <alignment horizontal="right" vertical="center" wrapText="1"/>
    </xf>
    <xf numFmtId="177" fontId="11" fillId="0" borderId="1" xfId="11" applyNumberFormat="1" applyFont="1" applyFill="1" applyBorder="1" applyAlignment="1">
      <alignment horizontal="right" vertical="center" wrapText="1"/>
    </xf>
    <xf numFmtId="192" fontId="4" fillId="0" borderId="0" xfId="7" applyNumberFormat="1" applyFont="1" applyAlignment="1">
      <alignment vertical="center"/>
    </xf>
    <xf numFmtId="179" fontId="4" fillId="0" borderId="0" xfId="7" applyNumberFormat="1" applyFont="1" applyAlignment="1">
      <alignment vertical="center"/>
    </xf>
    <xf numFmtId="0" fontId="9" fillId="0" borderId="0" xfId="0" applyFont="1" applyFill="1" applyAlignment="1"/>
    <xf numFmtId="0" fontId="12" fillId="0" borderId="0" xfId="0" applyFont="1" applyFill="1" applyAlignment="1"/>
    <xf numFmtId="0" fontId="0" fillId="0" borderId="0" xfId="0" applyFill="1" applyAlignment="1"/>
    <xf numFmtId="0" fontId="6" fillId="0" borderId="1" xfId="0" applyFont="1" applyBorder="1" applyAlignment="1">
      <alignment horizontal="justify" vertical="center" wrapText="1"/>
    </xf>
    <xf numFmtId="0" fontId="13" fillId="0" borderId="0" xfId="0" applyFont="1" applyFill="1" applyAlignment="1"/>
    <xf numFmtId="0" fontId="14" fillId="0" borderId="0" xfId="0" applyFont="1" applyAlignment="1"/>
    <xf numFmtId="0" fontId="15" fillId="0" borderId="0" xfId="0" applyFont="1" applyAlignment="1"/>
    <xf numFmtId="0" fontId="3" fillId="0" borderId="0" xfId="0" applyFont="1" applyAlignment="1"/>
    <xf numFmtId="0" fontId="5" fillId="0" borderId="1" xfId="0"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0" fontId="5" fillId="0" borderId="1" xfId="3" applyFont="1" applyBorder="1" applyAlignment="1" applyProtection="1">
      <alignment horizontal="center" vertical="center" wrapText="1"/>
      <protection locked="0"/>
    </xf>
    <xf numFmtId="178" fontId="10" fillId="0" borderId="1" xfId="0" applyNumberFormat="1" applyFont="1" applyBorder="1" applyAlignment="1">
      <alignment horizontal="right" vertical="center" wrapText="1"/>
    </xf>
    <xf numFmtId="178" fontId="11"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187" fontId="10" fillId="0" borderId="1" xfId="11" applyNumberFormat="1" applyFont="1" applyFill="1" applyBorder="1" applyAlignment="1">
      <alignment horizontal="right" vertical="center" wrapText="1"/>
    </xf>
    <xf numFmtId="0" fontId="9" fillId="0" borderId="0" xfId="0" applyFont="1" applyAlignment="1"/>
    <xf numFmtId="0" fontId="5" fillId="0" borderId="0" xfId="0" applyFont="1" applyAlignment="1"/>
    <xf numFmtId="0" fontId="3" fillId="0" borderId="0" xfId="0" applyFont="1" applyAlignment="1">
      <alignment horizontal="right"/>
    </xf>
    <xf numFmtId="187" fontId="10" fillId="0" borderId="1" xfId="0" applyNumberFormat="1" applyFont="1" applyBorder="1" applyAlignment="1">
      <alignment horizontal="right" vertical="center" wrapText="1"/>
    </xf>
    <xf numFmtId="187" fontId="11" fillId="0" borderId="1" xfId="0" applyNumberFormat="1" applyFont="1" applyBorder="1" applyAlignment="1">
      <alignment horizontal="right" vertical="center" wrapText="1"/>
    </xf>
    <xf numFmtId="1" fontId="6" fillId="0" borderId="5" xfId="5" applyNumberFormat="1" applyFont="1" applyFill="1" applyBorder="1" applyAlignment="1" applyProtection="1">
      <alignment vertical="center"/>
      <protection locked="0"/>
    </xf>
    <xf numFmtId="1" fontId="6" fillId="0" borderId="0" xfId="5" applyNumberFormat="1" applyFont="1" applyFill="1" applyAlignment="1" applyProtection="1">
      <alignment vertical="center"/>
      <protection locked="0"/>
    </xf>
    <xf numFmtId="0" fontId="15" fillId="0" borderId="0" xfId="0" applyFont="1" applyAlignment="1">
      <alignment vertical="center"/>
    </xf>
    <xf numFmtId="0" fontId="6" fillId="0" borderId="1" xfId="0" applyFont="1" applyBorder="1" applyAlignment="1">
      <alignment vertical="center" wrapText="1"/>
    </xf>
    <xf numFmtId="177" fontId="10" fillId="0" borderId="1" xfId="0" applyNumberFormat="1" applyFont="1" applyFill="1" applyBorder="1" applyAlignment="1">
      <alignment horizontal="right" vertical="center" wrapText="1"/>
    </xf>
    <xf numFmtId="0" fontId="6" fillId="0" borderId="1" xfId="0" applyFont="1" applyBorder="1" applyAlignment="1">
      <alignment vertical="center"/>
    </xf>
    <xf numFmtId="177" fontId="11" fillId="0" borderId="1" xfId="0" applyNumberFormat="1" applyFont="1" applyFill="1" applyBorder="1" applyAlignment="1">
      <alignment horizontal="right" vertical="center" wrapText="1"/>
    </xf>
    <xf numFmtId="187" fontId="11" fillId="0" borderId="1" xfId="0" applyNumberFormat="1" applyFont="1" applyBorder="1" applyAlignment="1">
      <alignment vertical="center" wrapText="1"/>
    </xf>
    <xf numFmtId="187" fontId="10"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0" fillId="0" borderId="0" xfId="0" applyFont="1" applyFill="1" applyAlignment="1">
      <alignment vertical="center"/>
    </xf>
    <xf numFmtId="0" fontId="5" fillId="0" borderId="0" xfId="0" applyFont="1" applyFill="1" applyAlignment="1"/>
    <xf numFmtId="0" fontId="16" fillId="0" borderId="0" xfId="0" applyFont="1" applyFill="1" applyAlignment="1"/>
    <xf numFmtId="0" fontId="0" fillId="0" borderId="0" xfId="0" applyFont="1" applyFill="1" applyAlignment="1"/>
    <xf numFmtId="192" fontId="7" fillId="0" borderId="1" xfId="0" applyNumberFormat="1" applyFont="1" applyBorder="1" applyAlignment="1">
      <alignment horizontal="center" vertical="center" wrapText="1"/>
    </xf>
    <xf numFmtId="0" fontId="6" fillId="0" borderId="1" xfId="0" applyFont="1" applyFill="1" applyBorder="1" applyAlignment="1">
      <alignment horizontal="justify" vertical="center" wrapText="1"/>
    </xf>
    <xf numFmtId="192" fontId="4" fillId="0" borderId="1" xfId="11" applyNumberFormat="1" applyFont="1" applyFill="1" applyBorder="1" applyAlignment="1">
      <alignment horizontal="right" vertical="center"/>
    </xf>
    <xf numFmtId="185" fontId="4" fillId="0" borderId="1" xfId="0" applyNumberFormat="1" applyFont="1" applyFill="1" applyBorder="1" applyAlignment="1">
      <alignment horizontal="right" vertical="center" wrapText="1"/>
    </xf>
    <xf numFmtId="178" fontId="10" fillId="0" borderId="1" xfId="11" applyNumberFormat="1" applyFont="1" applyFill="1" applyBorder="1" applyAlignment="1">
      <alignment horizontal="right" vertical="center" wrapText="1"/>
    </xf>
    <xf numFmtId="192" fontId="7" fillId="0" borderId="1" xfId="11" applyNumberFormat="1" applyFont="1" applyFill="1" applyBorder="1" applyAlignment="1">
      <alignment horizontal="right" vertical="center"/>
    </xf>
    <xf numFmtId="178" fontId="11" fillId="0" borderId="1" xfId="11"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187" fontId="11" fillId="0" borderId="1" xfId="11" applyNumberFormat="1" applyFont="1" applyFill="1" applyBorder="1" applyAlignment="1">
      <alignment horizontal="right" vertical="center" wrapText="1"/>
    </xf>
    <xf numFmtId="0" fontId="0" fillId="0" borderId="0" xfId="0" applyFont="1" applyAlignment="1">
      <alignment vertical="center"/>
    </xf>
    <xf numFmtId="192" fontId="0" fillId="0" borderId="0" xfId="0" applyNumberFormat="1" applyFont="1" applyAlignment="1"/>
    <xf numFmtId="192" fontId="14" fillId="0" borderId="0" xfId="0" applyNumberFormat="1" applyFont="1" applyAlignment="1"/>
    <xf numFmtId="192" fontId="5" fillId="0" borderId="1" xfId="0" applyNumberFormat="1" applyFont="1" applyBorder="1" applyAlignment="1">
      <alignment horizontal="center" vertical="center" wrapText="1"/>
    </xf>
    <xf numFmtId="177" fontId="10" fillId="0" borderId="1" xfId="0" applyNumberFormat="1" applyFont="1" applyBorder="1" applyAlignment="1">
      <alignment horizontal="right" vertical="center" wrapText="1"/>
    </xf>
    <xf numFmtId="177" fontId="10" fillId="0" borderId="1" xfId="0" applyNumberFormat="1" applyFont="1" applyBorder="1" applyAlignment="1">
      <alignment horizontal="right" vertical="center"/>
    </xf>
    <xf numFmtId="178" fontId="10" fillId="0" borderId="1" xfId="0" applyNumberFormat="1" applyFont="1" applyBorder="1" applyAlignment="1">
      <alignment vertical="center" wrapText="1"/>
    </xf>
    <xf numFmtId="0" fontId="7" fillId="0" borderId="1" xfId="0" applyFont="1" applyBorder="1" applyAlignment="1">
      <alignment horizontal="left" vertical="center" wrapText="1"/>
    </xf>
    <xf numFmtId="177" fontId="11" fillId="0" borderId="1" xfId="0" applyNumberFormat="1" applyFont="1" applyBorder="1" applyAlignment="1">
      <alignment horizontal="right" vertical="center" wrapText="1"/>
    </xf>
    <xf numFmtId="177" fontId="11" fillId="0" borderId="1" xfId="0" applyNumberFormat="1" applyFont="1" applyBorder="1" applyAlignment="1">
      <alignment horizontal="right" vertical="center"/>
    </xf>
    <xf numFmtId="178" fontId="11" fillId="0" borderId="1" xfId="0" applyNumberFormat="1" applyFont="1" applyBorder="1" applyAlignment="1">
      <alignment vertical="center" wrapText="1"/>
    </xf>
    <xf numFmtId="187" fontId="17" fillId="0" borderId="1" xfId="0" applyNumberFormat="1" applyFont="1" applyBorder="1" applyAlignment="1"/>
    <xf numFmtId="192" fontId="15" fillId="0" borderId="0" xfId="0" applyNumberFormat="1" applyFont="1" applyAlignment="1">
      <alignment vertical="center"/>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10" fillId="0" borderId="1" xfId="0" applyNumberFormat="1" applyFont="1" applyFill="1" applyBorder="1" applyAlignment="1">
      <alignment horizontal="right" vertical="center"/>
    </xf>
    <xf numFmtId="0" fontId="3" fillId="0" borderId="0" xfId="6" applyFont="1" applyFill="1" applyAlignment="1">
      <alignment horizontal="right"/>
    </xf>
    <xf numFmtId="192" fontId="18"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77" fontId="19" fillId="2" borderId="1" xfId="6" applyNumberFormat="1" applyFont="1" applyFill="1" applyBorder="1" applyAlignment="1" applyProtection="1">
      <alignment horizontal="right" vertical="center"/>
    </xf>
    <xf numFmtId="177" fontId="19" fillId="0" borderId="1" xfId="6" applyNumberFormat="1" applyFont="1" applyFill="1" applyBorder="1" applyAlignment="1" applyProtection="1">
      <alignment horizontal="right" vertical="center"/>
    </xf>
    <xf numFmtId="0" fontId="19" fillId="0" borderId="1" xfId="0" applyFont="1" applyFill="1" applyBorder="1" applyAlignment="1">
      <alignment horizontal="left" vertical="center"/>
    </xf>
    <xf numFmtId="49" fontId="20" fillId="2" borderId="1" xfId="6" applyNumberFormat="1" applyFont="1" applyFill="1" applyBorder="1" applyAlignment="1" applyProtection="1">
      <alignment horizontal="center" vertical="center"/>
    </xf>
    <xf numFmtId="177" fontId="21" fillId="2" borderId="1" xfId="6" applyNumberFormat="1" applyFont="1" applyFill="1" applyBorder="1" applyAlignment="1" applyProtection="1">
      <alignment horizontal="center" vertical="center"/>
    </xf>
    <xf numFmtId="177" fontId="19" fillId="0" borderId="1" xfId="6" applyNumberFormat="1" applyFont="1" applyFill="1" applyBorder="1" applyAlignment="1">
      <alignment horizontal="right" vertical="center"/>
    </xf>
    <xf numFmtId="0" fontId="7" fillId="0" borderId="0" xfId="6" applyFont="1" applyFill="1" applyAlignment="1"/>
    <xf numFmtId="0" fontId="3" fillId="0" borderId="0" xfId="6" applyFont="1" applyFill="1" applyAlignment="1"/>
    <xf numFmtId="0" fontId="4" fillId="0" borderId="0" xfId="6" applyFill="1" applyAlignment="1"/>
    <xf numFmtId="49" fontId="5" fillId="0" borderId="6" xfId="6" applyNumberFormat="1" applyFont="1" applyFill="1" applyBorder="1" applyAlignment="1">
      <alignment horizontal="center" vertical="center"/>
    </xf>
    <xf numFmtId="49" fontId="6" fillId="0" borderId="1" xfId="6" applyNumberFormat="1" applyFont="1" applyFill="1" applyBorder="1" applyAlignment="1" applyProtection="1">
      <alignment horizontal="left" vertical="center"/>
    </xf>
    <xf numFmtId="177" fontId="10" fillId="0" borderId="1" xfId="6" applyNumberFormat="1" applyFont="1" applyFill="1" applyBorder="1" applyAlignment="1" applyProtection="1">
      <alignment horizontal="right" vertical="center" wrapText="1"/>
    </xf>
    <xf numFmtId="49" fontId="6" fillId="0" borderId="7" xfId="6" applyNumberFormat="1" applyFont="1" applyFill="1" applyBorder="1" applyAlignment="1" applyProtection="1">
      <alignment horizontal="left" vertical="center"/>
    </xf>
    <xf numFmtId="49" fontId="5" fillId="0" borderId="1" xfId="6" applyNumberFormat="1" applyFont="1" applyFill="1" applyBorder="1" applyAlignment="1" applyProtection="1">
      <alignment horizontal="center" vertical="center"/>
    </xf>
    <xf numFmtId="177" fontId="11" fillId="0" borderId="1" xfId="6" applyNumberFormat="1" applyFont="1" applyFill="1" applyBorder="1" applyAlignment="1" applyProtection="1">
      <alignment horizontal="right" vertical="center" wrapText="1"/>
    </xf>
    <xf numFmtId="0" fontId="4" fillId="0" borderId="0" xfId="0" applyFont="1" applyAlignment="1">
      <alignment vertical="center"/>
    </xf>
    <xf numFmtId="189" fontId="4" fillId="0" borderId="0" xfId="6" applyNumberFormat="1" applyFill="1" applyAlignment="1"/>
    <xf numFmtId="0" fontId="4" fillId="0" borderId="0" xfId="6" applyFont="1" applyFill="1" applyAlignment="1"/>
    <xf numFmtId="0" fontId="3" fillId="0" borderId="0" xfId="0" applyFont="1" applyAlignment="1">
      <alignment vertical="center"/>
    </xf>
    <xf numFmtId="49" fontId="3" fillId="0" borderId="0" xfId="6" applyNumberFormat="1" applyFont="1" applyFill="1" applyAlignment="1"/>
    <xf numFmtId="177" fontId="10" fillId="0" borderId="1" xfId="6" applyNumberFormat="1" applyFont="1" applyFill="1" applyBorder="1" applyAlignment="1" applyProtection="1">
      <alignment horizontal="right" vertical="center"/>
    </xf>
    <xf numFmtId="177" fontId="10" fillId="0" borderId="1" xfId="6" applyNumberFormat="1" applyFont="1" applyFill="1" applyBorder="1" applyAlignment="1">
      <alignment horizontal="right" vertical="center" wrapText="1"/>
    </xf>
    <xf numFmtId="187" fontId="10" fillId="0" borderId="1" xfId="2" applyNumberFormat="1" applyFont="1" applyFill="1" applyBorder="1" applyAlignment="1">
      <alignment vertical="center" wrapText="1"/>
    </xf>
    <xf numFmtId="0" fontId="22" fillId="0" borderId="1" xfId="6" applyFont="1" applyFill="1" applyBorder="1" applyAlignment="1">
      <alignment vertical="center" wrapText="1"/>
    </xf>
    <xf numFmtId="0" fontId="4" fillId="0" borderId="1" xfId="6" applyFill="1" applyBorder="1" applyAlignment="1"/>
    <xf numFmtId="49" fontId="5" fillId="0" borderId="7" xfId="6" applyNumberFormat="1" applyFont="1" applyFill="1" applyBorder="1" applyAlignment="1" applyProtection="1">
      <alignment horizontal="center" vertical="center"/>
    </xf>
    <xf numFmtId="187" fontId="11" fillId="0" borderId="1" xfId="2" applyNumberFormat="1" applyFont="1" applyFill="1" applyBorder="1" applyAlignment="1">
      <alignment vertical="center" wrapText="1"/>
    </xf>
    <xf numFmtId="49" fontId="6" fillId="0" borderId="6" xfId="6" applyNumberFormat="1" applyFont="1" applyFill="1" applyBorder="1" applyAlignment="1" applyProtection="1">
      <alignment horizontal="left" vertical="center"/>
    </xf>
    <xf numFmtId="177" fontId="11" fillId="0" borderId="1" xfId="2" applyNumberFormat="1" applyFont="1" applyFill="1" applyBorder="1" applyAlignment="1">
      <alignment vertical="center" wrapText="1"/>
    </xf>
    <xf numFmtId="0" fontId="23" fillId="0" borderId="0" xfId="0" applyFont="1" applyAlignment="1">
      <alignment vertical="center"/>
    </xf>
    <xf numFmtId="0" fontId="9" fillId="0" borderId="0" xfId="0" applyFont="1" applyAlignment="1">
      <alignment vertical="center"/>
    </xf>
    <xf numFmtId="0" fontId="24" fillId="0" borderId="0" xfId="0" applyFont="1" applyFill="1" applyAlignment="1"/>
    <xf numFmtId="3" fontId="6" fillId="0" borderId="1" xfId="0" applyNumberFormat="1" applyFont="1" applyFill="1" applyBorder="1" applyAlignment="1" applyProtection="1">
      <alignment vertical="center"/>
    </xf>
    <xf numFmtId="177" fontId="10" fillId="0" borderId="1" xfId="0" applyNumberFormat="1" applyFont="1" applyBorder="1" applyAlignment="1">
      <alignment vertical="center" wrapText="1"/>
    </xf>
    <xf numFmtId="177" fontId="10" fillId="0" borderId="1" xfId="0" applyNumberFormat="1" applyFont="1" applyFill="1" applyBorder="1" applyAlignment="1">
      <alignment vertical="center" wrapText="1"/>
    </xf>
    <xf numFmtId="0" fontId="23" fillId="0" borderId="1" xfId="0" applyFont="1" applyBorder="1" applyAlignment="1">
      <alignment vertical="center" wrapText="1"/>
    </xf>
    <xf numFmtId="3" fontId="6" fillId="0" borderId="1" xfId="0" applyNumberFormat="1" applyFont="1" applyFill="1" applyBorder="1" applyAlignment="1" applyProtection="1">
      <alignment vertical="center" wrapText="1"/>
    </xf>
    <xf numFmtId="3" fontId="5" fillId="0" borderId="1" xfId="0" applyNumberFormat="1" applyFont="1" applyFill="1" applyBorder="1" applyAlignment="1" applyProtection="1">
      <alignment horizontal="center" vertical="center"/>
    </xf>
    <xf numFmtId="177" fontId="11" fillId="0" borderId="1" xfId="0" applyNumberFormat="1" applyFont="1" applyBorder="1" applyAlignment="1">
      <alignment vertical="center" wrapText="1"/>
    </xf>
    <xf numFmtId="0" fontId="15" fillId="0" borderId="1" xfId="0" applyFont="1" applyBorder="1" applyAlignment="1">
      <alignment vertical="center"/>
    </xf>
    <xf numFmtId="177" fontId="11" fillId="0" borderId="1" xfId="0" applyNumberFormat="1" applyFont="1" applyFill="1" applyBorder="1" applyAlignment="1">
      <alignment vertical="center"/>
    </xf>
    <xf numFmtId="177" fontId="10" fillId="0" borderId="1" xfId="2" applyNumberFormat="1" applyFont="1" applyFill="1" applyBorder="1" applyAlignment="1">
      <alignment vertical="center" wrapText="1"/>
    </xf>
    <xf numFmtId="177" fontId="10" fillId="0" borderId="1" xfId="0" applyNumberFormat="1" applyFont="1" applyFill="1" applyBorder="1" applyAlignment="1">
      <alignment vertical="center"/>
    </xf>
    <xf numFmtId="0" fontId="23" fillId="0" borderId="1" xfId="0" applyFont="1" applyBorder="1" applyAlignment="1">
      <alignment vertical="center"/>
    </xf>
    <xf numFmtId="190" fontId="10" fillId="0" borderId="1" xfId="2" applyNumberFormat="1" applyFont="1" applyFill="1" applyBorder="1" applyAlignment="1">
      <alignment vertical="center" wrapText="1"/>
    </xf>
    <xf numFmtId="177" fontId="10" fillId="0" borderId="7" xfId="6" applyNumberFormat="1" applyFont="1" applyFill="1" applyBorder="1" applyAlignment="1" applyProtection="1">
      <alignment horizontal="right" vertical="center"/>
    </xf>
    <xf numFmtId="190" fontId="11" fillId="0" borderId="1" xfId="2" applyNumberFormat="1" applyFont="1" applyFill="1" applyBorder="1" applyAlignment="1">
      <alignment vertical="center" wrapText="1"/>
    </xf>
    <xf numFmtId="0" fontId="7" fillId="0" borderId="0" xfId="0" applyFont="1" applyFill="1" applyAlignment="1">
      <alignment vertical="center"/>
    </xf>
    <xf numFmtId="0" fontId="3" fillId="0" borderId="0" xfId="0" applyFont="1" applyFill="1" applyAlignment="1">
      <alignment horizontal="left"/>
    </xf>
    <xf numFmtId="0" fontId="24" fillId="0" borderId="0" xfId="0" applyFont="1" applyFill="1" applyAlignment="1">
      <alignment vertical="center"/>
    </xf>
    <xf numFmtId="0" fontId="22" fillId="0" borderId="1" xfId="0" applyFont="1" applyBorder="1" applyAlignment="1">
      <alignment vertical="center" wrapText="1"/>
    </xf>
    <xf numFmtId="177" fontId="11" fillId="0" borderId="1" xfId="0" applyNumberFormat="1" applyFont="1" applyFill="1" applyBorder="1" applyAlignment="1">
      <alignment vertical="center" wrapText="1"/>
    </xf>
    <xf numFmtId="177" fontId="25" fillId="0" borderId="1" xfId="0" applyNumberFormat="1" applyFont="1" applyBorder="1" applyAlignment="1">
      <alignment vertical="center" wrapText="1"/>
    </xf>
    <xf numFmtId="190" fontId="10" fillId="0" borderId="1" xfId="0" applyNumberFormat="1" applyFont="1" applyFill="1" applyBorder="1" applyAlignment="1">
      <alignment vertical="center" wrapText="1"/>
    </xf>
    <xf numFmtId="177" fontId="26" fillId="0" borderId="1" xfId="0" applyNumberFormat="1" applyFont="1" applyBorder="1" applyAlignment="1">
      <alignment vertical="center" wrapText="1"/>
    </xf>
    <xf numFmtId="0" fontId="15" fillId="0" borderId="0" xfId="0" applyFont="1" applyFill="1" applyAlignment="1">
      <alignment vertical="center"/>
    </xf>
    <xf numFmtId="0" fontId="27"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xf>
    <xf numFmtId="0" fontId="3" fillId="0" borderId="0" xfId="0" applyFont="1" applyFill="1" applyBorder="1" applyAlignment="1">
      <alignment horizontal="right"/>
    </xf>
    <xf numFmtId="0" fontId="5" fillId="0" borderId="4" xfId="0" applyFont="1" applyFill="1" applyBorder="1" applyAlignment="1">
      <alignment horizontal="center" vertical="center" wrapText="1"/>
    </xf>
    <xf numFmtId="0" fontId="22" fillId="0" borderId="1" xfId="0" applyFont="1" applyFill="1" applyBorder="1" applyAlignment="1">
      <alignment vertical="center"/>
    </xf>
    <xf numFmtId="0" fontId="4" fillId="0" borderId="1" xfId="0" applyFont="1" applyFill="1" applyBorder="1" applyAlignment="1">
      <alignment vertical="center"/>
    </xf>
    <xf numFmtId="0" fontId="22" fillId="0" borderId="1" xfId="0" applyFont="1" applyFill="1" applyBorder="1" applyAlignment="1">
      <alignment vertical="center" wrapText="1"/>
    </xf>
    <xf numFmtId="0" fontId="5" fillId="0" borderId="1" xfId="0" applyFont="1" applyFill="1" applyBorder="1" applyAlignment="1">
      <alignment vertical="center"/>
    </xf>
    <xf numFmtId="0" fontId="28" fillId="0" borderId="0" xfId="0" applyFont="1" applyFill="1" applyAlignment="1">
      <alignment vertical="center"/>
    </xf>
    <xf numFmtId="184" fontId="28" fillId="0" borderId="0" xfId="0" applyNumberFormat="1" applyFont="1" applyFill="1" applyAlignment="1">
      <alignment vertical="center"/>
    </xf>
    <xf numFmtId="0" fontId="28" fillId="0" borderId="0" xfId="0" applyFont="1" applyFill="1" applyAlignment="1">
      <alignment horizontal="left" vertical="center" wrapText="1"/>
    </xf>
    <xf numFmtId="0" fontId="4" fillId="0" borderId="8" xfId="0" applyFont="1" applyFill="1" applyBorder="1" applyAlignment="1"/>
    <xf numFmtId="0" fontId="3" fillId="0" borderId="8" xfId="0" applyFont="1" applyFill="1" applyBorder="1" applyAlignment="1">
      <alignment horizontal="right"/>
    </xf>
    <xf numFmtId="0" fontId="22" fillId="0" borderId="1" xfId="0" applyFont="1" applyFill="1" applyBorder="1" applyAlignment="1">
      <alignment horizontal="center" vertical="center" wrapText="1"/>
    </xf>
    <xf numFmtId="0" fontId="15" fillId="0" borderId="1" xfId="0" applyFont="1" applyFill="1" applyBorder="1" applyAlignment="1">
      <alignment vertical="center"/>
    </xf>
    <xf numFmtId="3" fontId="4" fillId="0" borderId="1" xfId="0" applyNumberFormat="1" applyFont="1" applyFill="1" applyBorder="1" applyAlignment="1" applyProtection="1">
      <alignment horizontal="center" vertical="center"/>
    </xf>
    <xf numFmtId="185" fontId="4" fillId="0" borderId="1" xfId="11" applyNumberFormat="1" applyFont="1" applyFill="1" applyBorder="1" applyAlignment="1">
      <alignment horizontal="right" vertical="center"/>
    </xf>
    <xf numFmtId="3" fontId="7" fillId="0" borderId="1" xfId="0" applyNumberFormat="1" applyFont="1" applyFill="1" applyBorder="1" applyAlignment="1" applyProtection="1">
      <alignment horizontal="center" vertical="center"/>
    </xf>
    <xf numFmtId="178" fontId="28" fillId="0" borderId="0" xfId="0" applyNumberFormat="1" applyFont="1" applyFill="1" applyAlignment="1">
      <alignment vertical="center"/>
    </xf>
    <xf numFmtId="0" fontId="29" fillId="0" borderId="0" xfId="0" applyFont="1" applyFill="1" applyBorder="1" applyAlignment="1"/>
    <xf numFmtId="0" fontId="19" fillId="0" borderId="0" xfId="0" applyFont="1" applyFill="1" applyBorder="1" applyAlignment="1" applyProtection="1">
      <protection locked="0"/>
    </xf>
    <xf numFmtId="0" fontId="19" fillId="0" borderId="9" xfId="0" applyFont="1" applyFill="1" applyBorder="1" applyAlignment="1" applyProtection="1">
      <alignment horizontal="center" vertical="center"/>
      <protection locked="0"/>
    </xf>
    <xf numFmtId="177" fontId="19" fillId="0" borderId="10" xfId="0" applyNumberFormat="1" applyFont="1" applyFill="1" applyBorder="1" applyAlignment="1">
      <alignment vertical="center"/>
    </xf>
    <xf numFmtId="9" fontId="29" fillId="0" borderId="10" xfId="0" applyNumberFormat="1" applyFont="1" applyFill="1" applyBorder="1" applyAlignment="1" applyProtection="1">
      <alignment vertical="center"/>
      <protection locked="0"/>
    </xf>
    <xf numFmtId="0" fontId="19" fillId="0" borderId="9" xfId="0" applyNumberFormat="1" applyFont="1" applyFill="1" applyBorder="1" applyAlignment="1" applyProtection="1">
      <alignment horizontal="center" vertical="center" wrapText="1"/>
      <protection locked="0"/>
    </xf>
    <xf numFmtId="177" fontId="19" fillId="0" borderId="10" xfId="0" applyNumberFormat="1" applyFont="1" applyFill="1" applyBorder="1" applyAlignment="1" applyProtection="1">
      <alignment vertical="center"/>
      <protection locked="0"/>
    </xf>
    <xf numFmtId="9" fontId="30" fillId="0" borderId="10" xfId="0" applyNumberFormat="1" applyFont="1" applyFill="1" applyBorder="1" applyAlignment="1" applyProtection="1">
      <alignment vertical="center" wrapText="1"/>
      <protection locked="0"/>
    </xf>
    <xf numFmtId="0" fontId="21" fillId="0" borderId="9" xfId="0" applyFont="1" applyFill="1" applyBorder="1" applyAlignment="1" applyProtection="1">
      <alignment horizontal="center" vertical="center"/>
      <protection locked="0"/>
    </xf>
    <xf numFmtId="177" fontId="21" fillId="0" borderId="10" xfId="0" applyNumberFormat="1" applyFont="1" applyFill="1" applyBorder="1" applyAlignment="1" applyProtection="1">
      <alignment vertical="center"/>
      <protection locked="0"/>
    </xf>
    <xf numFmtId="9" fontId="31" fillId="0" borderId="10" xfId="0" applyNumberFormat="1" applyFont="1" applyFill="1" applyBorder="1" applyAlignment="1" applyProtection="1">
      <alignment vertical="center"/>
      <protection locked="0"/>
    </xf>
    <xf numFmtId="192" fontId="32" fillId="0" borderId="0" xfId="0" applyNumberFormat="1" applyFont="1" applyFill="1" applyBorder="1" applyAlignment="1">
      <alignment vertical="center"/>
    </xf>
    <xf numFmtId="192" fontId="19" fillId="0" borderId="0" xfId="0" applyNumberFormat="1" applyFont="1" applyFill="1" applyBorder="1" applyAlignment="1">
      <alignment vertical="center"/>
    </xf>
    <xf numFmtId="192" fontId="31" fillId="0" borderId="0" xfId="0" applyNumberFormat="1" applyFont="1" applyFill="1" applyBorder="1" applyAlignment="1">
      <alignment vertical="center"/>
    </xf>
    <xf numFmtId="192" fontId="21" fillId="0" borderId="0" xfId="0" applyNumberFormat="1" applyFont="1" applyFill="1" applyBorder="1" applyAlignment="1">
      <alignment vertical="center"/>
    </xf>
    <xf numFmtId="192" fontId="29" fillId="0" borderId="0" xfId="0" applyNumberFormat="1" applyFont="1" applyFill="1" applyBorder="1" applyAlignment="1">
      <alignment vertical="center"/>
    </xf>
    <xf numFmtId="0" fontId="3" fillId="0" borderId="0" xfId="7" applyFont="1" applyFill="1" applyAlignment="1">
      <alignment horizontal="left"/>
    </xf>
    <xf numFmtId="0" fontId="5" fillId="0" borderId="1" xfId="6" applyFont="1" applyFill="1" applyBorder="1" applyAlignment="1">
      <alignment horizontal="center" vertical="center"/>
    </xf>
    <xf numFmtId="177" fontId="11" fillId="0" borderId="1" xfId="6" applyNumberFormat="1" applyFont="1" applyFill="1" applyBorder="1" applyAlignment="1">
      <alignment horizontal="right" vertical="center" wrapText="1"/>
    </xf>
    <xf numFmtId="192" fontId="33" fillId="2" borderId="1" xfId="0" applyNumberFormat="1" applyFont="1" applyFill="1" applyBorder="1" applyAlignment="1" applyProtection="1">
      <alignment horizontal="left" vertical="center" wrapText="1"/>
    </xf>
    <xf numFmtId="192" fontId="34" fillId="0" borderId="1" xfId="0" applyNumberFormat="1" applyFont="1" applyFill="1" applyBorder="1" applyAlignment="1">
      <alignment horizontal="left" vertical="center" indent="1"/>
    </xf>
    <xf numFmtId="192" fontId="19" fillId="0" borderId="0" xfId="0" applyNumberFormat="1" applyFont="1" applyFill="1" applyBorder="1" applyAlignment="1">
      <alignment horizontal="right" vertical="center"/>
    </xf>
    <xf numFmtId="0" fontId="0" fillId="0" borderId="0" xfId="7" applyFont="1">
      <alignment vertical="center"/>
    </xf>
    <xf numFmtId="0" fontId="3" fillId="0" borderId="0" xfId="7" applyFont="1" applyFill="1" applyAlignment="1">
      <alignment horizontal="right"/>
    </xf>
    <xf numFmtId="192" fontId="5" fillId="0" borderId="7" xfId="6" applyNumberFormat="1" applyFont="1" applyFill="1" applyBorder="1" applyAlignment="1">
      <alignment horizontal="center" vertical="center"/>
    </xf>
    <xf numFmtId="192" fontId="5" fillId="0" borderId="1" xfId="6" applyNumberFormat="1" applyFont="1" applyFill="1" applyBorder="1" applyAlignment="1">
      <alignment horizontal="center" vertical="center" wrapText="1"/>
    </xf>
    <xf numFmtId="192" fontId="5" fillId="0" borderId="7" xfId="6" applyNumberFormat="1" applyFont="1" applyFill="1" applyBorder="1" applyAlignment="1">
      <alignment horizontal="left" vertical="center"/>
    </xf>
    <xf numFmtId="177" fontId="10" fillId="0" borderId="1" xfId="6" applyNumberFormat="1" applyFont="1" applyFill="1" applyBorder="1" applyAlignment="1">
      <alignment vertical="center"/>
    </xf>
    <xf numFmtId="0" fontId="36" fillId="0" borderId="0" xfId="0" applyFont="1" applyAlignment="1">
      <alignment vertical="center"/>
    </xf>
    <xf numFmtId="0" fontId="14" fillId="0" borderId="0" xfId="0" applyFont="1" applyFill="1" applyAlignment="1"/>
    <xf numFmtId="192" fontId="18" fillId="0" borderId="13" xfId="0" applyNumberFormat="1" applyFont="1" applyFill="1" applyBorder="1" applyAlignment="1">
      <alignment horizontal="center" vertical="center" wrapText="1"/>
    </xf>
    <xf numFmtId="0" fontId="38" fillId="0" borderId="13" xfId="0" applyFont="1" applyFill="1" applyBorder="1" applyAlignment="1">
      <alignment horizontal="center" vertical="center"/>
    </xf>
    <xf numFmtId="177" fontId="10" fillId="0" borderId="13" xfId="0" applyNumberFormat="1" applyFont="1" applyFill="1" applyBorder="1" applyAlignment="1">
      <alignment horizontal="right" vertical="center" wrapText="1"/>
    </xf>
    <xf numFmtId="0" fontId="39" fillId="0" borderId="13" xfId="0" applyFont="1" applyFill="1" applyBorder="1" applyAlignment="1">
      <alignment vertical="center"/>
    </xf>
    <xf numFmtId="0" fontId="6" fillId="0" borderId="0" xfId="0" applyFont="1" applyAlignment="1">
      <alignment horizontal="left" vertical="center"/>
    </xf>
    <xf numFmtId="0" fontId="14" fillId="0" borderId="0" xfId="0" applyFont="1" applyFill="1" applyBorder="1" applyAlignment="1">
      <alignment horizontal="right"/>
    </xf>
    <xf numFmtId="0" fontId="40" fillId="0" borderId="0" xfId="0" applyFont="1" applyFill="1" applyBorder="1" applyAlignment="1"/>
    <xf numFmtId="0" fontId="38" fillId="0" borderId="13" xfId="0" applyFont="1" applyFill="1" applyBorder="1" applyAlignment="1">
      <alignment horizontal="center" vertical="center" wrapText="1"/>
    </xf>
    <xf numFmtId="0" fontId="42" fillId="0" borderId="13" xfId="0" applyFont="1" applyFill="1" applyBorder="1" applyAlignment="1">
      <alignment vertical="center" wrapText="1"/>
    </xf>
    <xf numFmtId="192" fontId="18" fillId="0" borderId="19" xfId="0" applyNumberFormat="1" applyFont="1" applyFill="1" applyBorder="1" applyAlignment="1">
      <alignment horizontal="center" vertical="center" wrapText="1"/>
    </xf>
    <xf numFmtId="0" fontId="40" fillId="0" borderId="0" xfId="0" applyFont="1" applyAlignment="1"/>
    <xf numFmtId="0" fontId="0" fillId="0" borderId="0" xfId="0" applyNumberFormat="1" applyFont="1" applyFill="1" applyAlignment="1">
      <alignment horizontal="right"/>
    </xf>
    <xf numFmtId="0" fontId="5" fillId="0" borderId="7" xfId="0" applyFont="1" applyFill="1" applyBorder="1" applyAlignment="1">
      <alignment horizontal="center" vertical="center"/>
    </xf>
    <xf numFmtId="0" fontId="16" fillId="3" borderId="1" xfId="0" applyFont="1" applyFill="1" applyBorder="1" applyAlignment="1">
      <alignment horizontal="center" vertical="center" wrapText="1"/>
    </xf>
    <xf numFmtId="49" fontId="5" fillId="0" borderId="12" xfId="0" applyNumberFormat="1" applyFont="1" applyFill="1" applyBorder="1" applyAlignment="1">
      <alignment horizontal="left" vertical="center"/>
    </xf>
    <xf numFmtId="177" fontId="0" fillId="0" borderId="1" xfId="0" applyNumberFormat="1" applyFont="1" applyFill="1" applyBorder="1" applyAlignment="1"/>
    <xf numFmtId="49" fontId="6" fillId="0" borderId="12" xfId="0" applyNumberFormat="1" applyFont="1" applyFill="1" applyBorder="1" applyAlignment="1">
      <alignment horizontal="left" vertical="center" indent="1"/>
    </xf>
    <xf numFmtId="0" fontId="4" fillId="3" borderId="7" xfId="0" applyFont="1" applyFill="1" applyBorder="1" applyAlignment="1">
      <alignment vertical="center"/>
    </xf>
    <xf numFmtId="0" fontId="4" fillId="3" borderId="1" xfId="0" applyNumberFormat="1" applyFont="1" applyFill="1" applyBorder="1" applyAlignment="1">
      <alignment vertical="center"/>
    </xf>
    <xf numFmtId="0" fontId="0" fillId="0" borderId="1" xfId="0" applyNumberFormat="1" applyFont="1" applyFill="1" applyBorder="1" applyAlignment="1"/>
    <xf numFmtId="0" fontId="5" fillId="0" borderId="7" xfId="5" applyFont="1" applyFill="1" applyBorder="1" applyAlignment="1" applyProtection="1">
      <alignment horizontal="center" vertical="center"/>
      <protection locked="0"/>
    </xf>
    <xf numFmtId="0" fontId="4" fillId="0" borderId="0" xfId="0" applyNumberFormat="1" applyFont="1" applyFill="1" applyAlignment="1">
      <alignment horizontal="right"/>
    </xf>
    <xf numFmtId="0" fontId="4" fillId="0" borderId="0" xfId="0" applyFont="1" applyFill="1" applyAlignment="1"/>
    <xf numFmtId="0" fontId="0" fillId="0" borderId="0" xfId="0" applyNumberFormat="1" applyFill="1" applyAlignment="1">
      <alignment horizontal="right"/>
    </xf>
    <xf numFmtId="0" fontId="23" fillId="0" borderId="0" xfId="0" applyFont="1" applyFill="1" applyAlignment="1">
      <alignment vertical="center"/>
    </xf>
    <xf numFmtId="0" fontId="14" fillId="0" borderId="0" xfId="0" applyFont="1" applyFill="1" applyAlignment="1">
      <alignment vertical="center"/>
    </xf>
    <xf numFmtId="0" fontId="6" fillId="0" borderId="1" xfId="4" applyFont="1" applyFill="1" applyBorder="1" applyAlignment="1" applyProtection="1">
      <alignment vertical="center"/>
      <protection locked="0"/>
    </xf>
    <xf numFmtId="0" fontId="5" fillId="0" borderId="1" xfId="5" applyFont="1" applyFill="1" applyBorder="1" applyAlignment="1" applyProtection="1">
      <alignment horizontal="center" vertical="center"/>
      <protection locked="0"/>
    </xf>
    <xf numFmtId="0" fontId="5" fillId="0" borderId="1" xfId="5" applyFont="1" applyFill="1" applyBorder="1" applyAlignment="1" applyProtection="1">
      <alignment horizontal="left" vertical="center"/>
      <protection locked="0"/>
    </xf>
    <xf numFmtId="3" fontId="15" fillId="0" borderId="0" xfId="0" applyNumberFormat="1" applyFont="1" applyFill="1" applyAlignment="1">
      <alignment vertical="center"/>
    </xf>
    <xf numFmtId="192" fontId="15" fillId="0" borderId="0" xfId="0" applyNumberFormat="1" applyFont="1" applyFill="1" applyAlignment="1">
      <alignment vertical="center"/>
    </xf>
    <xf numFmtId="0" fontId="43" fillId="0" borderId="0" xfId="6" applyFont="1" applyFill="1" applyAlignment="1"/>
    <xf numFmtId="49" fontId="5" fillId="0" borderId="6" xfId="6" applyNumberFormat="1" applyFont="1" applyFill="1" applyBorder="1" applyAlignment="1">
      <alignment horizontal="center" vertical="center" wrapText="1"/>
    </xf>
    <xf numFmtId="49" fontId="5" fillId="0" borderId="4" xfId="6" applyNumberFormat="1" applyFont="1" applyFill="1" applyBorder="1" applyAlignment="1">
      <alignment horizontal="center" vertical="center" wrapText="1"/>
    </xf>
    <xf numFmtId="49" fontId="5" fillId="0" borderId="7" xfId="6" applyNumberFormat="1" applyFont="1" applyFill="1" applyBorder="1" applyAlignment="1" applyProtection="1">
      <alignment horizontal="left" vertical="center"/>
    </xf>
    <xf numFmtId="177" fontId="11" fillId="0" borderId="7" xfId="1" applyNumberFormat="1" applyFont="1" applyFill="1" applyBorder="1" applyAlignment="1" applyProtection="1">
      <alignment horizontal="right" vertical="center" wrapText="1"/>
    </xf>
    <xf numFmtId="190" fontId="11" fillId="0" borderId="1" xfId="6" applyNumberFormat="1" applyFont="1" applyFill="1" applyBorder="1" applyAlignment="1">
      <alignment horizontal="right" vertical="center" wrapText="1"/>
    </xf>
    <xf numFmtId="0" fontId="7" fillId="0" borderId="1" xfId="6" applyFont="1" applyFill="1" applyBorder="1" applyAlignment="1"/>
    <xf numFmtId="0" fontId="6" fillId="0" borderId="1" xfId="5" applyFont="1" applyFill="1" applyBorder="1" applyAlignment="1" applyProtection="1">
      <alignment vertical="center"/>
      <protection locked="0"/>
    </xf>
    <xf numFmtId="177" fontId="10" fillId="0" borderId="7" xfId="1" applyNumberFormat="1" applyFont="1" applyFill="1" applyBorder="1" applyAlignment="1" applyProtection="1">
      <alignment horizontal="right" vertical="center" wrapText="1"/>
      <protection locked="0"/>
    </xf>
    <xf numFmtId="190" fontId="10" fillId="0" borderId="1" xfId="6" applyNumberFormat="1" applyFont="1" applyFill="1" applyBorder="1" applyAlignment="1">
      <alignment horizontal="right" vertical="center" wrapText="1"/>
    </xf>
    <xf numFmtId="177" fontId="11" fillId="0" borderId="7" xfId="1" applyNumberFormat="1" applyFont="1" applyFill="1" applyBorder="1" applyAlignment="1" applyProtection="1">
      <alignment horizontal="right" vertical="center"/>
    </xf>
    <xf numFmtId="1" fontId="43" fillId="0" borderId="1" xfId="6" applyNumberFormat="1" applyFont="1" applyFill="1" applyBorder="1" applyAlignment="1"/>
    <xf numFmtId="177" fontId="11" fillId="0" borderId="1" xfId="1" applyNumberFormat="1" applyFont="1" applyFill="1" applyBorder="1" applyAlignment="1" applyProtection="1">
      <alignment horizontal="right" vertical="center"/>
    </xf>
    <xf numFmtId="187" fontId="10" fillId="0" borderId="1" xfId="6" applyNumberFormat="1" applyFont="1" applyFill="1" applyBorder="1" applyAlignment="1"/>
    <xf numFmtId="49" fontId="5" fillId="0" borderId="24" xfId="6" applyNumberFormat="1" applyFont="1" applyFill="1" applyBorder="1" applyAlignment="1" applyProtection="1">
      <alignment horizontal="left" vertical="center"/>
    </xf>
    <xf numFmtId="1" fontId="6" fillId="0" borderId="1" xfId="5" applyNumberFormat="1" applyFont="1" applyFill="1" applyBorder="1" applyAlignment="1" applyProtection="1">
      <alignment vertical="center"/>
      <protection locked="0"/>
    </xf>
    <xf numFmtId="177" fontId="10" fillId="0" borderId="1" xfId="1" applyNumberFormat="1" applyFont="1" applyFill="1" applyBorder="1" applyAlignment="1"/>
    <xf numFmtId="187" fontId="10" fillId="0" borderId="1" xfId="5" applyNumberFormat="1" applyFont="1" applyFill="1" applyBorder="1" applyAlignment="1"/>
    <xf numFmtId="49" fontId="4" fillId="0" borderId="7" xfId="6" applyNumberFormat="1" applyFont="1" applyFill="1" applyBorder="1" applyAlignment="1" applyProtection="1">
      <alignment horizontal="left" vertical="center"/>
    </xf>
    <xf numFmtId="177" fontId="10" fillId="0" borderId="1" xfId="1" applyNumberFormat="1" applyFont="1" applyFill="1" applyBorder="1" applyAlignment="1" applyProtection="1">
      <alignment horizontal="right" vertical="center"/>
    </xf>
    <xf numFmtId="0" fontId="43" fillId="0" borderId="1" xfId="6" applyFont="1" applyFill="1" applyBorder="1" applyAlignment="1"/>
    <xf numFmtId="0" fontId="4" fillId="0" borderId="5" xfId="6" applyFill="1" applyBorder="1" applyAlignment="1"/>
    <xf numFmtId="0" fontId="3" fillId="0" borderId="0" xfId="0" applyFont="1" applyFill="1" applyAlignment="1">
      <alignment horizontal="left" vertical="center"/>
    </xf>
    <xf numFmtId="0" fontId="44" fillId="0" borderId="0" xfId="5" applyFont="1" applyFill="1" applyAlignment="1"/>
    <xf numFmtId="0" fontId="3" fillId="0" borderId="0" xfId="0" applyFont="1" applyFill="1" applyAlignment="1">
      <alignment horizontal="right" vertical="center"/>
    </xf>
    <xf numFmtId="0" fontId="5" fillId="0" borderId="4" xfId="5" applyFont="1" applyFill="1" applyBorder="1" applyAlignment="1" applyProtection="1">
      <alignment horizontal="center" vertical="center"/>
      <protection locked="0"/>
    </xf>
    <xf numFmtId="0" fontId="5" fillId="0" borderId="6" xfId="5" applyFont="1" applyFill="1" applyBorder="1" applyAlignment="1" applyProtection="1">
      <alignment horizontal="center" vertical="center" wrapText="1"/>
      <protection locked="0"/>
    </xf>
    <xf numFmtId="0" fontId="5" fillId="0" borderId="4" xfId="5"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23" fillId="0" borderId="1" xfId="0" applyFont="1" applyFill="1" applyBorder="1" applyAlignment="1">
      <alignment vertical="center" wrapText="1"/>
    </xf>
    <xf numFmtId="187" fontId="10" fillId="0" borderId="1" xfId="5" applyNumberFormat="1" applyFont="1" applyFill="1" applyBorder="1" applyAlignment="1" applyProtection="1">
      <alignment horizontal="right"/>
      <protection locked="0"/>
    </xf>
    <xf numFmtId="0" fontId="27" fillId="0" borderId="1" xfId="5" applyFont="1" applyFill="1" applyBorder="1" applyAlignment="1" applyProtection="1">
      <alignment horizontal="distributed" vertical="center"/>
      <protection locked="0"/>
    </xf>
    <xf numFmtId="0" fontId="6" fillId="0" borderId="0" xfId="0" applyFont="1" applyFill="1" applyAlignment="1">
      <alignment vertical="center"/>
    </xf>
    <xf numFmtId="177" fontId="15" fillId="0" borderId="0" xfId="0" applyNumberFormat="1" applyFont="1" applyFill="1" applyAlignment="1">
      <alignment vertical="center"/>
    </xf>
    <xf numFmtId="0" fontId="5" fillId="0" borderId="1" xfId="5" applyFont="1" applyFill="1" applyBorder="1" applyAlignment="1" applyProtection="1">
      <alignment horizontal="center" vertical="center" wrapText="1"/>
      <protection locked="0"/>
    </xf>
    <xf numFmtId="0" fontId="5" fillId="0" borderId="1" xfId="5" applyFont="1" applyFill="1" applyBorder="1" applyAlignment="1" applyProtection="1">
      <alignment vertical="center"/>
      <protection locked="0"/>
    </xf>
    <xf numFmtId="191" fontId="11" fillId="0" borderId="1" xfId="1" applyNumberFormat="1" applyFont="1" applyFill="1" applyBorder="1" applyAlignment="1">
      <alignment horizontal="right" vertical="center" wrapText="1"/>
    </xf>
    <xf numFmtId="185" fontId="10" fillId="0" borderId="1" xfId="2" applyNumberFormat="1" applyFont="1" applyFill="1" applyBorder="1" applyAlignment="1">
      <alignment vertical="center" wrapText="1"/>
    </xf>
    <xf numFmtId="191" fontId="10" fillId="0" borderId="3" xfId="1" applyNumberFormat="1" applyFont="1" applyFill="1" applyBorder="1" applyAlignment="1">
      <alignment horizontal="right" vertical="center" wrapText="1"/>
    </xf>
    <xf numFmtId="191" fontId="10" fillId="0" borderId="1" xfId="1" applyNumberFormat="1" applyFont="1" applyFill="1" applyBorder="1" applyAlignment="1">
      <alignment horizontal="right" vertical="center" wrapText="1"/>
    </xf>
    <xf numFmtId="183" fontId="10" fillId="0" borderId="1" xfId="2" applyNumberFormat="1" applyFont="1" applyFill="1" applyBorder="1" applyAlignment="1">
      <alignment vertical="center" wrapText="1"/>
    </xf>
    <xf numFmtId="1" fontId="4" fillId="0" borderId="1" xfId="5" applyNumberFormat="1" applyFont="1" applyFill="1" applyBorder="1" applyAlignment="1" applyProtection="1">
      <alignment vertical="center"/>
      <protection locked="0"/>
    </xf>
    <xf numFmtId="0" fontId="15" fillId="0" borderId="0" xfId="0" applyFont="1" applyFill="1" applyBorder="1" applyAlignment="1">
      <alignment vertical="center"/>
    </xf>
    <xf numFmtId="0" fontId="27" fillId="0" borderId="0" xfId="0" applyFont="1" applyFill="1" applyAlignment="1"/>
    <xf numFmtId="0" fontId="45" fillId="0" borderId="0" xfId="0" applyFont="1" applyFill="1" applyAlignment="1"/>
    <xf numFmtId="0" fontId="15" fillId="0" borderId="0" xfId="0" applyFont="1" applyFill="1" applyAlignment="1"/>
    <xf numFmtId="1" fontId="15" fillId="0" borderId="0" xfId="0" applyNumberFormat="1" applyFont="1" applyFill="1" applyAlignment="1"/>
    <xf numFmtId="181" fontId="15" fillId="0" borderId="0" xfId="0" applyNumberFormat="1" applyFont="1" applyFill="1" applyAlignment="1"/>
    <xf numFmtId="0" fontId="5" fillId="0" borderId="1" xfId="5" applyFont="1" applyFill="1" applyBorder="1" applyAlignment="1">
      <alignment horizontal="center" vertical="center" wrapText="1"/>
    </xf>
    <xf numFmtId="0" fontId="5" fillId="0" borderId="4" xfId="5" applyFont="1" applyFill="1" applyBorder="1" applyAlignment="1">
      <alignment horizontal="center" vertical="center" wrapText="1"/>
    </xf>
    <xf numFmtId="1" fontId="6" fillId="0" borderId="1" xfId="0" applyNumberFormat="1" applyFont="1" applyFill="1" applyBorder="1" applyAlignment="1">
      <alignment vertical="center"/>
    </xf>
    <xf numFmtId="185" fontId="10" fillId="0" borderId="1" xfId="11" applyNumberFormat="1" applyFont="1" applyFill="1" applyBorder="1" applyAlignment="1">
      <alignment horizontal="right" vertical="center"/>
    </xf>
    <xf numFmtId="190" fontId="10" fillId="0" borderId="1" xfId="0" applyNumberFormat="1" applyFont="1" applyFill="1" applyBorder="1" applyAlignment="1">
      <alignment horizontal="right" vertical="center" wrapText="1"/>
    </xf>
    <xf numFmtId="0" fontId="45" fillId="0" borderId="1" xfId="0" applyFont="1" applyFill="1" applyBorder="1" applyAlignment="1"/>
    <xf numFmtId="0" fontId="23" fillId="0" borderId="1" xfId="0" applyFont="1" applyFill="1" applyBorder="1" applyAlignment="1">
      <alignment horizontal="center" vertical="center" wrapText="1"/>
    </xf>
    <xf numFmtId="192" fontId="10" fillId="0" borderId="1" xfId="11" applyNumberFormat="1" applyFont="1" applyFill="1" applyBorder="1" applyAlignment="1">
      <alignment horizontal="right" vertical="center"/>
    </xf>
    <xf numFmtId="185" fontId="11" fillId="0" borderId="1" xfId="11" applyNumberFormat="1" applyFont="1" applyFill="1" applyBorder="1" applyAlignment="1">
      <alignment horizontal="right" vertical="center"/>
    </xf>
    <xf numFmtId="1" fontId="4" fillId="0" borderId="1" xfId="0" applyNumberFormat="1" applyFont="1" applyFill="1" applyBorder="1" applyAlignment="1">
      <alignment vertical="center"/>
    </xf>
    <xf numFmtId="1" fontId="10" fillId="0" borderId="3" xfId="0" applyNumberFormat="1" applyFont="1" applyFill="1" applyBorder="1" applyAlignment="1">
      <alignment horizontal="right" vertical="center" wrapText="1"/>
    </xf>
    <xf numFmtId="0" fontId="10" fillId="0" borderId="1" xfId="0" applyFont="1" applyFill="1" applyBorder="1" applyAlignment="1"/>
    <xf numFmtId="186" fontId="5" fillId="0" borderId="1" xfId="0" applyNumberFormat="1" applyFont="1" applyFill="1" applyBorder="1" applyAlignment="1" applyProtection="1">
      <alignment horizontal="center" vertical="center"/>
      <protection locked="0"/>
    </xf>
    <xf numFmtId="2" fontId="11" fillId="0" borderId="3" xfId="0" applyNumberFormat="1" applyFont="1" applyFill="1" applyBorder="1" applyAlignment="1">
      <alignment horizontal="right" vertical="center" wrapText="1"/>
    </xf>
    <xf numFmtId="190" fontId="11" fillId="0" borderId="1" xfId="0" applyNumberFormat="1" applyFont="1" applyFill="1" applyBorder="1" applyAlignment="1">
      <alignment horizontal="right" vertical="center" wrapText="1"/>
    </xf>
    <xf numFmtId="0" fontId="11" fillId="0" borderId="1" xfId="0" applyFont="1" applyFill="1" applyBorder="1" applyAlignment="1"/>
    <xf numFmtId="49" fontId="5" fillId="0" borderId="4" xfId="0" applyNumberFormat="1" applyFont="1" applyFill="1" applyBorder="1" applyAlignment="1">
      <alignment horizontal="center" vertical="center" wrapText="1"/>
    </xf>
    <xf numFmtId="186" fontId="5" fillId="0" borderId="3" xfId="0" applyNumberFormat="1" applyFont="1" applyFill="1" applyBorder="1" applyAlignment="1" applyProtection="1">
      <alignment vertical="center"/>
      <protection locked="0"/>
    </xf>
    <xf numFmtId="185" fontId="11" fillId="0" borderId="1" xfId="0" applyNumberFormat="1" applyFont="1" applyFill="1" applyBorder="1" applyAlignment="1">
      <alignment horizontal="right" vertical="center" wrapText="1"/>
    </xf>
    <xf numFmtId="0" fontId="6" fillId="0" borderId="1" xfId="0" applyNumberFormat="1" applyFont="1" applyFill="1" applyBorder="1" applyAlignment="1" applyProtection="1">
      <alignment vertical="center"/>
      <protection locked="0"/>
    </xf>
    <xf numFmtId="185" fontId="10" fillId="0" borderId="1" xfId="0" applyNumberFormat="1" applyFont="1" applyFill="1" applyBorder="1" applyAlignment="1">
      <alignment horizontal="right" vertical="center" wrapText="1"/>
    </xf>
    <xf numFmtId="0" fontId="6" fillId="0" borderId="1" xfId="0" applyNumberFormat="1" applyFont="1" applyFill="1" applyBorder="1" applyAlignment="1" applyProtection="1">
      <alignment horizontal="left" vertical="center"/>
      <protection locked="0"/>
    </xf>
    <xf numFmtId="186" fontId="5" fillId="0" borderId="1" xfId="0" applyNumberFormat="1" applyFont="1" applyFill="1" applyBorder="1" applyAlignment="1" applyProtection="1">
      <alignment vertical="center"/>
      <protection locked="0"/>
    </xf>
    <xf numFmtId="186" fontId="6" fillId="0" borderId="1" xfId="0" applyNumberFormat="1" applyFont="1" applyFill="1" applyBorder="1" applyAlignment="1" applyProtection="1">
      <alignment vertical="center"/>
      <protection locked="0"/>
    </xf>
    <xf numFmtId="186" fontId="4" fillId="0" borderId="1" xfId="0" applyNumberFormat="1" applyFont="1" applyFill="1" applyBorder="1" applyAlignment="1" applyProtection="1">
      <alignment vertical="center"/>
      <protection locked="0"/>
    </xf>
    <xf numFmtId="180" fontId="0" fillId="0" borderId="0" xfId="0" applyNumberFormat="1" applyFill="1" applyAlignment="1"/>
    <xf numFmtId="1" fontId="0" fillId="0" borderId="0" xfId="0" applyNumberFormat="1" applyFill="1" applyAlignment="1"/>
    <xf numFmtId="49" fontId="7" fillId="0" borderId="7" xfId="6" applyNumberFormat="1" applyFont="1" applyFill="1" applyBorder="1" applyAlignment="1" applyProtection="1">
      <alignment horizontal="left" vertical="center"/>
    </xf>
    <xf numFmtId="1" fontId="7" fillId="0" borderId="7" xfId="6" applyNumberFormat="1" applyFont="1" applyFill="1" applyBorder="1" applyAlignment="1" applyProtection="1">
      <alignment horizontal="right" vertical="center"/>
    </xf>
    <xf numFmtId="1" fontId="4" fillId="0" borderId="7" xfId="6" applyNumberFormat="1" applyFont="1" applyFill="1" applyBorder="1" applyAlignment="1" applyProtection="1">
      <alignment horizontal="right" vertical="center"/>
      <protection locked="0"/>
    </xf>
    <xf numFmtId="0" fontId="7" fillId="0" borderId="7" xfId="6" applyNumberFormat="1" applyFont="1" applyFill="1" applyBorder="1" applyAlignment="1" applyProtection="1">
      <alignment horizontal="right" vertical="center"/>
    </xf>
    <xf numFmtId="0" fontId="4" fillId="0" borderId="7" xfId="6" applyNumberFormat="1" applyFont="1" applyFill="1" applyBorder="1" applyAlignment="1" applyProtection="1">
      <alignment horizontal="right" vertical="center"/>
      <protection locked="0"/>
    </xf>
    <xf numFmtId="2" fontId="10" fillId="0" borderId="3" xfId="0" applyNumberFormat="1" applyFont="1" applyFill="1" applyBorder="1" applyAlignment="1">
      <alignment horizontal="right" vertical="center" wrapText="1"/>
    </xf>
    <xf numFmtId="0" fontId="25"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46" fillId="0" borderId="1" xfId="0" applyFont="1" applyFill="1" applyBorder="1" applyAlignment="1">
      <alignment vertical="center" wrapText="1"/>
    </xf>
    <xf numFmtId="0" fontId="7" fillId="0" borderId="0" xfId="0" applyFont="1" applyFill="1" applyAlignment="1"/>
    <xf numFmtId="49" fontId="5" fillId="0" borderId="1" xfId="0" applyNumberFormat="1" applyFont="1" applyFill="1" applyBorder="1" applyAlignment="1">
      <alignment horizontal="center" vertical="center" wrapText="1"/>
    </xf>
    <xf numFmtId="191" fontId="11" fillId="0" borderId="3" xfId="1" applyNumberFormat="1" applyFont="1" applyFill="1" applyBorder="1" applyAlignment="1">
      <alignment horizontal="right" vertical="center" wrapText="1"/>
    </xf>
    <xf numFmtId="186" fontId="4" fillId="0" borderId="0" xfId="0" applyNumberFormat="1" applyFont="1" applyFill="1" applyBorder="1" applyAlignment="1" applyProtection="1">
      <alignment vertical="center"/>
      <protection locked="0"/>
    </xf>
    <xf numFmtId="0" fontId="0" fillId="0" borderId="0" xfId="0" applyFill="1" applyAlignment="1">
      <alignment vertical="center"/>
    </xf>
    <xf numFmtId="0" fontId="47" fillId="0" borderId="0" xfId="0" applyFont="1" applyFill="1" applyAlignment="1">
      <alignment horizontal="center" vertical="center"/>
    </xf>
    <xf numFmtId="0" fontId="43" fillId="0" borderId="0" xfId="0" applyFont="1" applyFill="1" applyAlignment="1">
      <alignment vertical="center"/>
    </xf>
    <xf numFmtId="0" fontId="4" fillId="0" borderId="0" xfId="0" applyFont="1" applyFill="1" applyAlignment="1">
      <alignment horizontal="left"/>
    </xf>
    <xf numFmtId="0" fontId="48" fillId="0" borderId="0" xfId="0" applyFont="1" applyAlignment="1"/>
    <xf numFmtId="0" fontId="12" fillId="0" borderId="0" xfId="0" applyFont="1" applyAlignment="1"/>
    <xf numFmtId="0" fontId="51" fillId="0" borderId="0" xfId="0" applyFont="1" applyAlignment="1"/>
    <xf numFmtId="0" fontId="49" fillId="0" borderId="0" xfId="0" applyFont="1" applyAlignment="1">
      <alignment horizontal="center" vertical="center" wrapText="1"/>
    </xf>
    <xf numFmtId="0" fontId="50" fillId="0" borderId="0" xfId="0" applyFont="1" applyAlignment="1">
      <alignment horizontal="center"/>
    </xf>
    <xf numFmtId="57" fontId="50" fillId="0" borderId="0" xfId="0" applyNumberFormat="1" applyFont="1" applyAlignment="1">
      <alignment horizont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5" xfId="0" applyNumberFormat="1" applyFont="1" applyFill="1" applyBorder="1" applyAlignment="1">
      <alignment horizontal="left" vertical="center"/>
    </xf>
    <xf numFmtId="192" fontId="18" fillId="0" borderId="13" xfId="0" applyNumberFormat="1" applyFont="1" applyFill="1" applyBorder="1" applyAlignment="1">
      <alignment horizontal="center" vertical="center" wrapText="1"/>
    </xf>
    <xf numFmtId="192" fontId="37" fillId="0" borderId="13" xfId="0" applyNumberFormat="1" applyFont="1" applyFill="1" applyBorder="1" applyAlignment="1">
      <alignment horizontal="center" vertical="center" wrapText="1"/>
    </xf>
    <xf numFmtId="0" fontId="41" fillId="0" borderId="16" xfId="0" applyNumberFormat="1" applyFont="1" applyFill="1" applyBorder="1" applyAlignment="1" applyProtection="1">
      <alignment horizontal="center" vertical="center"/>
    </xf>
    <xf numFmtId="0" fontId="41" fillId="0" borderId="17" xfId="0" applyNumberFormat="1" applyFont="1" applyFill="1" applyBorder="1" applyAlignment="1" applyProtection="1">
      <alignment horizontal="center" vertical="center"/>
    </xf>
    <xf numFmtId="0" fontId="41" fillId="0" borderId="18" xfId="0" applyNumberFormat="1" applyFont="1" applyFill="1" applyBorder="1" applyAlignment="1" applyProtection="1">
      <alignment horizontal="center" vertical="center"/>
    </xf>
    <xf numFmtId="0" fontId="41" fillId="0" borderId="20" xfId="0" applyNumberFormat="1" applyFont="1" applyFill="1" applyBorder="1" applyAlignment="1" applyProtection="1">
      <alignment horizontal="center" vertical="center"/>
    </xf>
    <xf numFmtId="0" fontId="41" fillId="0" borderId="21" xfId="0" applyNumberFormat="1" applyFont="1" applyFill="1" applyBorder="1" applyAlignment="1" applyProtection="1">
      <alignment horizontal="center" vertical="center"/>
    </xf>
    <xf numFmtId="0" fontId="41" fillId="0" borderId="22" xfId="0" applyNumberFormat="1" applyFont="1" applyFill="1" applyBorder="1" applyAlignment="1" applyProtection="1">
      <alignment horizontal="center" vertical="center"/>
    </xf>
    <xf numFmtId="0" fontId="41" fillId="0" borderId="21" xfId="0" applyNumberFormat="1" applyFont="1" applyFill="1" applyBorder="1" applyAlignment="1" applyProtection="1">
      <alignment horizontal="center" vertical="center" wrapText="1"/>
    </xf>
    <xf numFmtId="0" fontId="41" fillId="0" borderId="23" xfId="0" applyNumberFormat="1" applyFont="1" applyFill="1" applyBorder="1" applyAlignment="1" applyProtection="1">
      <alignment horizontal="center" vertical="center"/>
    </xf>
    <xf numFmtId="0" fontId="18" fillId="0" borderId="11" xfId="0" applyFont="1" applyFill="1" applyBorder="1" applyAlignment="1">
      <alignment horizontal="center" vertical="center"/>
    </xf>
    <xf numFmtId="0" fontId="37" fillId="0" borderId="13" xfId="0" applyFont="1" applyFill="1" applyBorder="1" applyAlignment="1">
      <alignment horizontal="center" vertical="center"/>
    </xf>
    <xf numFmtId="192" fontId="18" fillId="0" borderId="1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92" fontId="18" fillId="0" borderId="12" xfId="0" applyNumberFormat="1" applyFont="1" applyFill="1" applyBorder="1" applyAlignment="1">
      <alignment horizontal="center" vertical="center" wrapText="1"/>
    </xf>
    <xf numFmtId="192" fontId="18" fillId="0" borderId="14" xfId="0" applyNumberFormat="1" applyFont="1" applyFill="1" applyBorder="1" applyAlignment="1">
      <alignment horizontal="center" vertical="center" wrapText="1"/>
    </xf>
    <xf numFmtId="192" fontId="18" fillId="0" borderId="15" xfId="0" applyNumberFormat="1" applyFont="1" applyFill="1" applyBorder="1" applyAlignment="1">
      <alignment horizontal="center" vertical="center" wrapText="1"/>
    </xf>
    <xf numFmtId="0" fontId="35" fillId="0" borderId="0" xfId="0" applyFont="1" applyFill="1" applyBorder="1" applyAlignment="1">
      <alignment horizontal="center" vertical="center"/>
    </xf>
    <xf numFmtId="0" fontId="4" fillId="0" borderId="5" xfId="0" applyFont="1" applyBorder="1" applyAlignment="1">
      <alignment wrapTex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5" fillId="0" borderId="1" xfId="0" applyFont="1" applyFill="1" applyBorder="1" applyAlignment="1">
      <alignment horizontal="center" vertical="center"/>
    </xf>
  </cellXfs>
  <cellStyles count="13">
    <cellStyle name="3232" xfId="5" xr:uid="{00000000-0005-0000-0000-000033000000}"/>
    <cellStyle name="百分比" xfId="2" builtinId="5"/>
    <cellStyle name="常规" xfId="0" builtinId="0"/>
    <cellStyle name="常规 2" xfId="6" xr:uid="{00000000-0005-0000-0000-000034000000}"/>
    <cellStyle name="常规 3" xfId="7" xr:uid="{00000000-0005-0000-0000-000035000000}"/>
    <cellStyle name="常规 4" xfId="8" xr:uid="{00000000-0005-0000-0000-000036000000}"/>
    <cellStyle name="常规_2010预算草案（人代会附表1）" xfId="3" xr:uid="{00000000-0005-0000-0000-00001B000000}"/>
    <cellStyle name="常规_2016债务余额（报人大）" xfId="10" xr:uid="{00000000-0005-0000-0000-000038000000}"/>
    <cellStyle name="常规_8月财政收入测算表1" xfId="11" xr:uid="{00000000-0005-0000-0000-000039000000}"/>
    <cellStyle name="常规_铜川市2015年底政府性债务余额情况表" xfId="12" xr:uid="{00000000-0005-0000-0000-00003A000000}"/>
    <cellStyle name="常规_铜川市2015年底政府性债务余额情况表_2016债务余额（报人大）" xfId="9" xr:uid="{00000000-0005-0000-0000-000037000000}"/>
    <cellStyle name="常规_西安" xfId="4" xr:uid="{00000000-0005-0000-0000-00002100000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view="pageBreakPreview" zoomScaleNormal="100" zoomScaleSheetLayoutView="100" workbookViewId="0">
      <selection activeCell="J26" sqref="J26"/>
    </sheetView>
  </sheetViews>
  <sheetFormatPr defaultColWidth="9" defaultRowHeight="14.25"/>
  <cols>
    <col min="1" max="8" width="7.75" customWidth="1"/>
  </cols>
  <sheetData>
    <row r="1" spans="1:9" ht="21" customHeight="1">
      <c r="A1" s="343" t="s">
        <v>0</v>
      </c>
    </row>
    <row r="3" spans="1:9">
      <c r="G3" s="344"/>
      <c r="H3" s="344"/>
    </row>
    <row r="7" spans="1:9" ht="99" customHeight="1">
      <c r="A7" s="346" t="s">
        <v>1</v>
      </c>
      <c r="B7" s="346"/>
      <c r="C7" s="346"/>
      <c r="D7" s="346"/>
      <c r="E7" s="346"/>
      <c r="F7" s="346"/>
      <c r="G7" s="346"/>
      <c r="H7" s="346"/>
      <c r="I7" s="346"/>
    </row>
    <row r="36" spans="1:9" ht="18.75">
      <c r="A36" s="347" t="s">
        <v>2</v>
      </c>
      <c r="B36" s="347"/>
      <c r="C36" s="347"/>
      <c r="D36" s="347"/>
      <c r="E36" s="347"/>
      <c r="F36" s="347"/>
      <c r="G36" s="347"/>
      <c r="H36" s="347"/>
      <c r="I36" s="347"/>
    </row>
    <row r="37" spans="1:9" ht="18.75">
      <c r="A37" s="348">
        <v>44228</v>
      </c>
      <c r="B37" s="347"/>
      <c r="C37" s="347"/>
      <c r="D37" s="347"/>
      <c r="E37" s="347"/>
      <c r="F37" s="347"/>
      <c r="G37" s="347"/>
      <c r="H37" s="347"/>
      <c r="I37" s="347"/>
    </row>
    <row r="41" spans="1:9">
      <c r="E41" s="345"/>
    </row>
  </sheetData>
  <mergeCells count="3">
    <mergeCell ref="A7:I7"/>
    <mergeCell ref="A36:I36"/>
    <mergeCell ref="A37:I37"/>
  </mergeCells>
  <phoneticPr fontId="54" type="noConversion"/>
  <printOptions horizontalCentered="1"/>
  <pageMargins left="0.78680555555555598" right="0.78680555555555598" top="0.78680555555555598" bottom="0.98402777777777795" header="0.51180555555555596" footer="0.51180555555555596"/>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9"/>
  <sheetViews>
    <sheetView workbookViewId="0">
      <selection activeCell="A9" sqref="A9"/>
    </sheetView>
  </sheetViews>
  <sheetFormatPr defaultColWidth="9" defaultRowHeight="14.25"/>
  <cols>
    <col min="1" max="1" width="53" style="339"/>
    <col min="2" max="2" width="9" style="52" customWidth="1"/>
    <col min="3" max="16384" width="9" style="52"/>
  </cols>
  <sheetData>
    <row r="1" spans="1:2" ht="22.5">
      <c r="A1" s="340" t="s">
        <v>3</v>
      </c>
    </row>
    <row r="2" spans="1:2" ht="9.75" customHeight="1"/>
    <row r="3" spans="1:2" s="242" customFormat="1" ht="18" customHeight="1">
      <c r="A3" s="341" t="s">
        <v>4</v>
      </c>
    </row>
    <row r="4" spans="1:2" s="242" customFormat="1" ht="18" customHeight="1">
      <c r="A4" s="170" t="s">
        <v>5</v>
      </c>
      <c r="B4" s="342"/>
    </row>
    <row r="5" spans="1:2" s="242" customFormat="1" ht="18" customHeight="1">
      <c r="A5" s="170" t="s">
        <v>6</v>
      </c>
      <c r="B5" s="342"/>
    </row>
    <row r="6" spans="1:2" s="242" customFormat="1" ht="18" customHeight="1">
      <c r="A6" s="170" t="s">
        <v>7</v>
      </c>
      <c r="B6" s="342"/>
    </row>
    <row r="7" spans="1:2" s="242" customFormat="1" ht="18" customHeight="1">
      <c r="A7" s="170" t="s">
        <v>8</v>
      </c>
      <c r="B7" s="342"/>
    </row>
    <row r="8" spans="1:2" s="242" customFormat="1" ht="18" customHeight="1">
      <c r="A8" s="170" t="s">
        <v>9</v>
      </c>
      <c r="B8" s="342"/>
    </row>
    <row r="9" spans="1:2" s="242" customFormat="1" ht="18" customHeight="1">
      <c r="A9" s="170" t="s">
        <v>10</v>
      </c>
      <c r="B9" s="342"/>
    </row>
    <row r="10" spans="1:2" s="242" customFormat="1" ht="18" customHeight="1">
      <c r="A10" s="170" t="s">
        <v>11</v>
      </c>
      <c r="B10" s="342"/>
    </row>
    <row r="11" spans="1:2" s="242" customFormat="1" ht="18" customHeight="1">
      <c r="A11" s="170" t="s">
        <v>12</v>
      </c>
      <c r="B11" s="342"/>
    </row>
    <row r="12" spans="1:2" s="242" customFormat="1" ht="18" customHeight="1">
      <c r="A12" s="170" t="s">
        <v>13</v>
      </c>
      <c r="B12" s="342"/>
    </row>
    <row r="13" spans="1:2" s="242" customFormat="1" ht="18" customHeight="1">
      <c r="A13" s="170" t="s">
        <v>14</v>
      </c>
      <c r="B13" s="342"/>
    </row>
    <row r="14" spans="1:2" s="242" customFormat="1" ht="18" customHeight="1">
      <c r="A14" s="170" t="s">
        <v>15</v>
      </c>
      <c r="B14" s="342"/>
    </row>
    <row r="15" spans="1:2" s="242" customFormat="1" ht="18" customHeight="1">
      <c r="A15" s="170" t="s">
        <v>16</v>
      </c>
      <c r="B15" s="342"/>
    </row>
    <row r="16" spans="1:2" s="242" customFormat="1" ht="18" customHeight="1">
      <c r="A16" s="170" t="s">
        <v>17</v>
      </c>
      <c r="B16" s="342"/>
    </row>
    <row r="17" spans="1:2" s="242" customFormat="1" ht="18" customHeight="1">
      <c r="A17" s="170" t="s">
        <v>18</v>
      </c>
      <c r="B17" s="342"/>
    </row>
    <row r="18" spans="1:2" s="242" customFormat="1" ht="18" customHeight="1">
      <c r="A18" s="341" t="s">
        <v>19</v>
      </c>
      <c r="B18" s="342"/>
    </row>
    <row r="19" spans="1:2" s="242" customFormat="1" ht="18" customHeight="1">
      <c r="A19" s="170" t="s">
        <v>20</v>
      </c>
      <c r="B19" s="342"/>
    </row>
    <row r="20" spans="1:2" s="242" customFormat="1" ht="18" customHeight="1">
      <c r="A20" s="170" t="s">
        <v>21</v>
      </c>
      <c r="B20" s="342"/>
    </row>
    <row r="21" spans="1:2" s="242" customFormat="1" ht="18" customHeight="1">
      <c r="A21" s="170" t="s">
        <v>22</v>
      </c>
      <c r="B21" s="342"/>
    </row>
    <row r="22" spans="1:2" s="242" customFormat="1" ht="18" customHeight="1">
      <c r="A22" s="170" t="s">
        <v>23</v>
      </c>
      <c r="B22" s="342"/>
    </row>
    <row r="23" spans="1:2" s="242" customFormat="1" ht="18" customHeight="1">
      <c r="A23" s="170" t="s">
        <v>24</v>
      </c>
      <c r="B23" s="342"/>
    </row>
    <row r="24" spans="1:2" s="242" customFormat="1" ht="18" customHeight="1">
      <c r="A24" s="170" t="s">
        <v>25</v>
      </c>
      <c r="B24" s="342"/>
    </row>
    <row r="25" spans="1:2" s="242" customFormat="1" ht="18" customHeight="1">
      <c r="A25" s="170" t="s">
        <v>26</v>
      </c>
      <c r="B25" s="342"/>
    </row>
    <row r="26" spans="1:2" s="242" customFormat="1" ht="18" customHeight="1">
      <c r="A26" s="170" t="s">
        <v>27</v>
      </c>
      <c r="B26" s="342"/>
    </row>
    <row r="27" spans="1:2" s="242" customFormat="1" ht="18" customHeight="1">
      <c r="A27" s="170" t="s">
        <v>28</v>
      </c>
      <c r="B27" s="342"/>
    </row>
    <row r="28" spans="1:2" s="242" customFormat="1" ht="18" customHeight="1">
      <c r="A28" s="170" t="s">
        <v>29</v>
      </c>
      <c r="B28" s="342"/>
    </row>
    <row r="29" spans="1:2" s="242" customFormat="1" ht="18" customHeight="1">
      <c r="A29" s="341" t="s">
        <v>30</v>
      </c>
      <c r="B29" s="342"/>
    </row>
    <row r="30" spans="1:2" s="242" customFormat="1" ht="18" customHeight="1">
      <c r="A30" s="170" t="s">
        <v>31</v>
      </c>
      <c r="B30" s="342"/>
    </row>
    <row r="31" spans="1:2" s="242" customFormat="1" ht="18" customHeight="1">
      <c r="A31" s="170" t="s">
        <v>32</v>
      </c>
      <c r="B31" s="342"/>
    </row>
    <row r="32" spans="1:2" s="242" customFormat="1" ht="18" customHeight="1">
      <c r="A32" s="170" t="s">
        <v>33</v>
      </c>
      <c r="B32" s="342"/>
    </row>
    <row r="33" spans="1:2" s="242" customFormat="1" ht="18" customHeight="1">
      <c r="A33" s="170" t="s">
        <v>34</v>
      </c>
      <c r="B33" s="342"/>
    </row>
    <row r="34" spans="1:2" s="242" customFormat="1" ht="18" customHeight="1">
      <c r="A34" s="170" t="s">
        <v>35</v>
      </c>
      <c r="B34" s="342"/>
    </row>
    <row r="35" spans="1:2" s="242" customFormat="1" ht="18" customHeight="1">
      <c r="A35" s="170" t="s">
        <v>36</v>
      </c>
      <c r="B35" s="342"/>
    </row>
    <row r="36" spans="1:2" s="242" customFormat="1" ht="18" customHeight="1">
      <c r="A36" s="170" t="s">
        <v>37</v>
      </c>
      <c r="B36" s="342"/>
    </row>
    <row r="37" spans="1:2" s="242" customFormat="1" ht="18" customHeight="1">
      <c r="A37" s="170" t="s">
        <v>38</v>
      </c>
      <c r="B37" s="342"/>
    </row>
    <row r="38" spans="1:2" s="242" customFormat="1" ht="18" customHeight="1">
      <c r="A38" s="170" t="s">
        <v>39</v>
      </c>
      <c r="B38" s="342"/>
    </row>
    <row r="39" spans="1:2" s="242" customFormat="1" ht="18" customHeight="1">
      <c r="A39" s="341" t="s">
        <v>40</v>
      </c>
      <c r="B39" s="342"/>
    </row>
    <row r="40" spans="1:2" s="242" customFormat="1" ht="18" customHeight="1">
      <c r="A40" s="170" t="s">
        <v>41</v>
      </c>
      <c r="B40" s="342"/>
    </row>
    <row r="41" spans="1:2" s="242" customFormat="1" ht="18" customHeight="1">
      <c r="A41" s="170" t="s">
        <v>42</v>
      </c>
      <c r="B41" s="342"/>
    </row>
    <row r="42" spans="1:2" s="242" customFormat="1" ht="18" customHeight="1">
      <c r="A42" s="170" t="s">
        <v>43</v>
      </c>
      <c r="B42" s="342"/>
    </row>
    <row r="43" spans="1:2" ht="18" customHeight="1">
      <c r="A43" s="170" t="s">
        <v>44</v>
      </c>
    </row>
    <row r="44" spans="1:2" ht="18" customHeight="1">
      <c r="A44" s="170" t="s">
        <v>45</v>
      </c>
    </row>
    <row r="45" spans="1:2" ht="18" customHeight="1">
      <c r="A45" s="170" t="s">
        <v>46</v>
      </c>
    </row>
    <row r="46" spans="1:2" ht="18" customHeight="1">
      <c r="A46" s="341" t="s">
        <v>47</v>
      </c>
    </row>
    <row r="47" spans="1:2" ht="18" customHeight="1">
      <c r="A47" s="170" t="s">
        <v>48</v>
      </c>
    </row>
    <row r="48" spans="1:2" ht="18" customHeight="1">
      <c r="A48" s="170" t="s">
        <v>49</v>
      </c>
    </row>
    <row r="49" spans="1:1" ht="18" customHeight="1">
      <c r="A49" s="170" t="s">
        <v>50</v>
      </c>
    </row>
  </sheetData>
  <autoFilter ref="A1:A49" xr:uid="{00000000-0009-0000-0000-000001000000}"/>
  <phoneticPr fontId="54" type="noConversion"/>
  <printOptions horizontalCentered="1"/>
  <pageMargins left="0.78680555555555598" right="0.78680555555555598" top="0.78680555555555598" bottom="0.98402777777777795" header="0.31388888888888899" footer="0.275000000000000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P37"/>
  <sheetViews>
    <sheetView workbookViewId="0">
      <selection activeCell="A17" sqref="A17:A18"/>
    </sheetView>
  </sheetViews>
  <sheetFormatPr defaultColWidth="9" defaultRowHeight="14.25"/>
  <cols>
    <col min="1" max="1" width="35.125" style="52" customWidth="1"/>
    <col min="2" max="5" width="8.5" style="52" customWidth="1"/>
    <col min="6" max="6" width="10.625" style="52" customWidth="1"/>
    <col min="7" max="250" width="9" style="52" customWidth="1"/>
  </cols>
  <sheetData>
    <row r="1" spans="1:6" ht="30" customHeight="1">
      <c r="A1" s="349" t="s">
        <v>51</v>
      </c>
      <c r="B1" s="349"/>
      <c r="C1" s="349"/>
      <c r="D1" s="349"/>
      <c r="E1" s="349"/>
      <c r="F1" s="349"/>
    </row>
    <row r="2" spans="1:6" ht="20.100000000000001" customHeight="1">
      <c r="A2" s="161" t="s">
        <v>52</v>
      </c>
      <c r="B2" s="50"/>
      <c r="C2" s="50"/>
      <c r="D2" s="50"/>
      <c r="E2" s="50"/>
      <c r="F2" s="7" t="s">
        <v>53</v>
      </c>
    </row>
    <row r="3" spans="1:6" s="294" customFormat="1" ht="48.75" customHeight="1">
      <c r="A3" s="8" t="s">
        <v>54</v>
      </c>
      <c r="B3" s="58" t="s">
        <v>55</v>
      </c>
      <c r="C3" s="58" t="s">
        <v>56</v>
      </c>
      <c r="D3" s="299" t="s">
        <v>57</v>
      </c>
      <c r="E3" s="336" t="s">
        <v>58</v>
      </c>
      <c r="F3" s="58" t="s">
        <v>59</v>
      </c>
    </row>
    <row r="4" spans="1:6" s="295" customFormat="1" ht="21" customHeight="1">
      <c r="A4" s="316" t="s">
        <v>60</v>
      </c>
      <c r="B4" s="337">
        <f>SUM(B5:B18)</f>
        <v>183834</v>
      </c>
      <c r="C4" s="337">
        <f>SUM(C5:C18)</f>
        <v>193150</v>
      </c>
      <c r="D4" s="337">
        <f>SUM(D5:D18)</f>
        <v>159500</v>
      </c>
      <c r="E4" s="317">
        <f t="shared" ref="E4:E17" si="0">D4/C4*100</f>
        <v>82.58</v>
      </c>
      <c r="F4" s="313">
        <f t="shared" ref="F4:F17" si="1">(D4/B4-1)*100</f>
        <v>-13.2</v>
      </c>
    </row>
    <row r="5" spans="1:6" s="295" customFormat="1" ht="21" customHeight="1">
      <c r="A5" s="320" t="s">
        <v>61</v>
      </c>
      <c r="B5" s="290">
        <v>77955</v>
      </c>
      <c r="C5" s="290">
        <v>81500</v>
      </c>
      <c r="D5" s="289">
        <v>55808</v>
      </c>
      <c r="E5" s="319">
        <f t="shared" si="0"/>
        <v>68.48</v>
      </c>
      <c r="F5" s="303">
        <f t="shared" si="1"/>
        <v>-28.4</v>
      </c>
    </row>
    <row r="6" spans="1:6" s="295" customFormat="1" ht="21" customHeight="1">
      <c r="A6" s="320" t="s">
        <v>62</v>
      </c>
      <c r="B6" s="290">
        <v>6361</v>
      </c>
      <c r="C6" s="290">
        <v>6600</v>
      </c>
      <c r="D6" s="289">
        <v>7981</v>
      </c>
      <c r="E6" s="319">
        <f t="shared" si="0"/>
        <v>120.92</v>
      </c>
      <c r="F6" s="303">
        <f t="shared" si="1"/>
        <v>25.5</v>
      </c>
    </row>
    <row r="7" spans="1:6" s="295" customFormat="1" ht="21" customHeight="1">
      <c r="A7" s="320" t="s">
        <v>63</v>
      </c>
      <c r="B7" s="290">
        <v>2761</v>
      </c>
      <c r="C7" s="290">
        <v>2900</v>
      </c>
      <c r="D7" s="289">
        <v>3993</v>
      </c>
      <c r="E7" s="319">
        <f t="shared" si="0"/>
        <v>137.69</v>
      </c>
      <c r="F7" s="303">
        <f t="shared" si="1"/>
        <v>44.6</v>
      </c>
    </row>
    <row r="8" spans="1:6" s="295" customFormat="1" ht="21" customHeight="1">
      <c r="A8" s="320" t="s">
        <v>64</v>
      </c>
      <c r="B8" s="290">
        <v>26046</v>
      </c>
      <c r="C8" s="290">
        <v>25000</v>
      </c>
      <c r="D8" s="289">
        <v>26381</v>
      </c>
      <c r="E8" s="319">
        <f t="shared" si="0"/>
        <v>105.52</v>
      </c>
      <c r="F8" s="303">
        <f t="shared" si="1"/>
        <v>1.3</v>
      </c>
    </row>
    <row r="9" spans="1:6" s="295" customFormat="1" ht="21" customHeight="1">
      <c r="A9" s="320" t="s">
        <v>65</v>
      </c>
      <c r="B9" s="290">
        <v>13738</v>
      </c>
      <c r="C9" s="290">
        <v>15500</v>
      </c>
      <c r="D9" s="289">
        <v>11531</v>
      </c>
      <c r="E9" s="319">
        <f t="shared" si="0"/>
        <v>74.39</v>
      </c>
      <c r="F9" s="303">
        <f t="shared" si="1"/>
        <v>-16.100000000000001</v>
      </c>
    </row>
    <row r="10" spans="1:6" s="295" customFormat="1" ht="21" customHeight="1">
      <c r="A10" s="320" t="s">
        <v>66</v>
      </c>
      <c r="B10" s="290">
        <v>5367</v>
      </c>
      <c r="C10" s="290">
        <v>5400</v>
      </c>
      <c r="D10" s="289">
        <v>4882</v>
      </c>
      <c r="E10" s="319">
        <f t="shared" si="0"/>
        <v>90.41</v>
      </c>
      <c r="F10" s="303">
        <f t="shared" si="1"/>
        <v>-9</v>
      </c>
    </row>
    <row r="11" spans="1:6" s="295" customFormat="1" ht="21" customHeight="1">
      <c r="A11" s="320" t="s">
        <v>67</v>
      </c>
      <c r="B11" s="290">
        <v>3404</v>
      </c>
      <c r="C11" s="290">
        <v>3500</v>
      </c>
      <c r="D11" s="289">
        <v>3560</v>
      </c>
      <c r="E11" s="319">
        <f t="shared" si="0"/>
        <v>101.71</v>
      </c>
      <c r="F11" s="303">
        <f t="shared" si="1"/>
        <v>4.5999999999999996</v>
      </c>
    </row>
    <row r="12" spans="1:6" s="295" customFormat="1" ht="21" customHeight="1">
      <c r="A12" s="320" t="s">
        <v>68</v>
      </c>
      <c r="B12" s="290">
        <v>3563</v>
      </c>
      <c r="C12" s="290">
        <v>3600</v>
      </c>
      <c r="D12" s="289">
        <v>3565</v>
      </c>
      <c r="E12" s="319">
        <f t="shared" si="0"/>
        <v>99.03</v>
      </c>
      <c r="F12" s="303">
        <f t="shared" si="1"/>
        <v>0.1</v>
      </c>
    </row>
    <row r="13" spans="1:6" s="295" customFormat="1" ht="21" customHeight="1">
      <c r="A13" s="320" t="s">
        <v>69</v>
      </c>
      <c r="B13" s="290">
        <v>4886</v>
      </c>
      <c r="C13" s="290">
        <v>4950</v>
      </c>
      <c r="D13" s="289">
        <v>6306</v>
      </c>
      <c r="E13" s="319">
        <f t="shared" si="0"/>
        <v>127.39</v>
      </c>
      <c r="F13" s="303">
        <f t="shared" si="1"/>
        <v>29.1</v>
      </c>
    </row>
    <row r="14" spans="1:6" s="295" customFormat="1" ht="21" customHeight="1">
      <c r="A14" s="320" t="s">
        <v>70</v>
      </c>
      <c r="B14" s="290">
        <v>4187</v>
      </c>
      <c r="C14" s="290">
        <v>4300</v>
      </c>
      <c r="D14" s="289">
        <v>4941</v>
      </c>
      <c r="E14" s="319">
        <f t="shared" si="0"/>
        <v>114.91</v>
      </c>
      <c r="F14" s="303">
        <f t="shared" si="1"/>
        <v>18</v>
      </c>
    </row>
    <row r="15" spans="1:6" s="295" customFormat="1" ht="21" customHeight="1">
      <c r="A15" s="320" t="s">
        <v>71</v>
      </c>
      <c r="B15" s="290">
        <v>14333</v>
      </c>
      <c r="C15" s="290">
        <v>15300</v>
      </c>
      <c r="D15" s="289">
        <v>19633</v>
      </c>
      <c r="E15" s="319">
        <f t="shared" si="0"/>
        <v>128.32</v>
      </c>
      <c r="F15" s="303">
        <f t="shared" si="1"/>
        <v>37</v>
      </c>
    </row>
    <row r="16" spans="1:6" s="295" customFormat="1" ht="21" customHeight="1">
      <c r="A16" s="320" t="s">
        <v>72</v>
      </c>
      <c r="B16" s="290">
        <v>20062</v>
      </c>
      <c r="C16" s="290">
        <v>22600</v>
      </c>
      <c r="D16" s="289">
        <v>9852</v>
      </c>
      <c r="E16" s="319">
        <f t="shared" si="0"/>
        <v>43.59</v>
      </c>
      <c r="F16" s="303">
        <f t="shared" si="1"/>
        <v>-50.9</v>
      </c>
    </row>
    <row r="17" spans="1:6" s="295" customFormat="1" ht="21" customHeight="1">
      <c r="A17" s="320" t="s">
        <v>73</v>
      </c>
      <c r="B17" s="290">
        <v>1071</v>
      </c>
      <c r="C17" s="290">
        <v>2000</v>
      </c>
      <c r="D17" s="289">
        <v>1067</v>
      </c>
      <c r="E17" s="319">
        <f t="shared" si="0"/>
        <v>53.35</v>
      </c>
      <c r="F17" s="303">
        <f t="shared" si="1"/>
        <v>-0.4</v>
      </c>
    </row>
    <row r="18" spans="1:6" s="295" customFormat="1" ht="21" customHeight="1">
      <c r="A18" s="320" t="s">
        <v>74</v>
      </c>
      <c r="B18" s="290">
        <v>100</v>
      </c>
      <c r="C18" s="290"/>
      <c r="D18" s="289"/>
      <c r="E18" s="319"/>
      <c r="F18" s="303"/>
    </row>
    <row r="19" spans="1:6" s="295" customFormat="1" ht="21" customHeight="1">
      <c r="A19" s="321" t="s">
        <v>75</v>
      </c>
      <c r="B19" s="287">
        <f>SUM(B20:B27)</f>
        <v>57397</v>
      </c>
      <c r="C19" s="287">
        <f>SUM(C20:C27)</f>
        <v>56530</v>
      </c>
      <c r="D19" s="287">
        <f>SUM(D20:D27)</f>
        <v>90584</v>
      </c>
      <c r="E19" s="317">
        <f t="shared" ref="E19:E22" si="2">D19/C19*100</f>
        <v>160.24</v>
      </c>
      <c r="F19" s="313">
        <f t="shared" ref="F19:F22" si="3">(D19/B19-1)*100</f>
        <v>57.8</v>
      </c>
    </row>
    <row r="20" spans="1:6" s="295" customFormat="1" ht="21" customHeight="1">
      <c r="A20" s="322" t="s">
        <v>76</v>
      </c>
      <c r="B20" s="290">
        <v>14515</v>
      </c>
      <c r="C20" s="290">
        <v>13350</v>
      </c>
      <c r="D20" s="289">
        <v>13539</v>
      </c>
      <c r="E20" s="319">
        <f t="shared" si="2"/>
        <v>101.42</v>
      </c>
      <c r="F20" s="303">
        <f t="shared" si="3"/>
        <v>-6.7</v>
      </c>
    </row>
    <row r="21" spans="1:6" s="295" customFormat="1" ht="21" customHeight="1">
      <c r="A21" s="322" t="s">
        <v>77</v>
      </c>
      <c r="B21" s="290">
        <v>14187</v>
      </c>
      <c r="C21" s="290">
        <v>14900</v>
      </c>
      <c r="D21" s="290">
        <v>15783</v>
      </c>
      <c r="E21" s="319">
        <f t="shared" si="2"/>
        <v>105.93</v>
      </c>
      <c r="F21" s="303">
        <f t="shared" si="3"/>
        <v>11.2</v>
      </c>
    </row>
    <row r="22" spans="1:6" s="295" customFormat="1" ht="21" customHeight="1">
      <c r="A22" s="322" t="s">
        <v>78</v>
      </c>
      <c r="B22" s="290">
        <v>10897</v>
      </c>
      <c r="C22" s="290">
        <v>11280</v>
      </c>
      <c r="D22" s="289">
        <v>13427</v>
      </c>
      <c r="E22" s="319">
        <f t="shared" si="2"/>
        <v>119.03</v>
      </c>
      <c r="F22" s="303">
        <f t="shared" si="3"/>
        <v>23.2</v>
      </c>
    </row>
    <row r="23" spans="1:6" s="295" customFormat="1" ht="21" customHeight="1">
      <c r="A23" s="322" t="s">
        <v>79</v>
      </c>
      <c r="B23" s="290"/>
      <c r="C23" s="290"/>
      <c r="D23" s="289">
        <v>90</v>
      </c>
      <c r="E23" s="319"/>
      <c r="F23" s="303"/>
    </row>
    <row r="24" spans="1:6" s="295" customFormat="1" ht="21" customHeight="1">
      <c r="A24" s="322" t="s">
        <v>80</v>
      </c>
      <c r="B24" s="290">
        <v>9638</v>
      </c>
      <c r="C24" s="290">
        <v>10100</v>
      </c>
      <c r="D24" s="289">
        <v>17484</v>
      </c>
      <c r="E24" s="319">
        <f t="shared" ref="E24" si="4">D24/C24*100</f>
        <v>173.11</v>
      </c>
      <c r="F24" s="303">
        <f t="shared" ref="F24:F27" si="5">(D24/B24-1)*100</f>
        <v>81.400000000000006</v>
      </c>
    </row>
    <row r="25" spans="1:6" s="295" customFormat="1" ht="21" customHeight="1">
      <c r="A25" s="322" t="s">
        <v>81</v>
      </c>
      <c r="B25" s="290">
        <v>1232</v>
      </c>
      <c r="C25" s="290"/>
      <c r="D25" s="289">
        <v>1184</v>
      </c>
      <c r="E25" s="319"/>
      <c r="F25" s="303">
        <f t="shared" si="5"/>
        <v>-3.9</v>
      </c>
    </row>
    <row r="26" spans="1:6" s="295" customFormat="1" ht="21" customHeight="1">
      <c r="A26" s="322" t="s">
        <v>82</v>
      </c>
      <c r="B26" s="290">
        <v>6529</v>
      </c>
      <c r="C26" s="290">
        <v>6900</v>
      </c>
      <c r="D26" s="289">
        <v>28990</v>
      </c>
      <c r="E26" s="319">
        <f>D26/C26*100</f>
        <v>420.14</v>
      </c>
      <c r="F26" s="303">
        <f t="shared" si="5"/>
        <v>344</v>
      </c>
    </row>
    <row r="27" spans="1:6" s="295" customFormat="1" ht="21" customHeight="1">
      <c r="A27" s="322" t="s">
        <v>74</v>
      </c>
      <c r="B27" s="290">
        <v>399</v>
      </c>
      <c r="C27" s="290"/>
      <c r="D27" s="289">
        <v>87</v>
      </c>
      <c r="E27" s="319"/>
      <c r="F27" s="303">
        <f t="shared" si="5"/>
        <v>-78.2</v>
      </c>
    </row>
    <row r="28" spans="1:6" s="335" customFormat="1" ht="21" customHeight="1">
      <c r="A28" s="323"/>
      <c r="B28" s="290"/>
      <c r="C28" s="290"/>
      <c r="D28" s="289"/>
      <c r="E28" s="317"/>
      <c r="F28" s="313"/>
    </row>
    <row r="29" spans="1:6" ht="21" customHeight="1">
      <c r="A29" s="311" t="s">
        <v>83</v>
      </c>
      <c r="B29" s="287">
        <f>B4+B19</f>
        <v>241231</v>
      </c>
      <c r="C29" s="287">
        <f>C4+C19</f>
        <v>249680</v>
      </c>
      <c r="D29" s="287">
        <f>D4+D19</f>
        <v>250084</v>
      </c>
      <c r="E29" s="317">
        <f>D29/C29*100</f>
        <v>100.16</v>
      </c>
      <c r="F29" s="313">
        <f>(D29/B29-1)*100</f>
        <v>3.7</v>
      </c>
    </row>
    <row r="30" spans="1:6" ht="18" customHeight="1">
      <c r="A30" s="338"/>
    </row>
    <row r="31" spans="1:6" ht="18" customHeight="1"/>
    <row r="32" spans="1:6" ht="18" customHeight="1">
      <c r="D32" s="325"/>
    </row>
    <row r="33" spans="4:4" ht="18" customHeight="1">
      <c r="D33" s="325"/>
    </row>
    <row r="34" spans="4:4" ht="18" customHeight="1">
      <c r="D34" s="325"/>
    </row>
    <row r="35" spans="4:4" ht="18" customHeight="1">
      <c r="D35" s="325"/>
    </row>
    <row r="36" spans="4:4" ht="18" customHeight="1">
      <c r="D36" s="325"/>
    </row>
    <row r="37" spans="4:4" ht="18" customHeight="1"/>
  </sheetData>
  <mergeCells count="1">
    <mergeCell ref="A1:F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S118"/>
  <sheetViews>
    <sheetView topLeftCell="A10" workbookViewId="0">
      <selection activeCell="A29" sqref="A29"/>
    </sheetView>
  </sheetViews>
  <sheetFormatPr defaultColWidth="9" defaultRowHeight="15"/>
  <cols>
    <col min="1" max="1" width="31" style="296" customWidth="1"/>
    <col min="2" max="3" width="11.75" style="296" customWidth="1"/>
    <col min="4" max="4" width="10.125" style="296" hidden="1" customWidth="1"/>
    <col min="5" max="5" width="13.5" style="296" customWidth="1"/>
    <col min="6" max="6" width="12.875" style="296" customWidth="1"/>
    <col min="7" max="253" width="9" style="296" customWidth="1"/>
  </cols>
  <sheetData>
    <row r="1" spans="1:6" s="52" customFormat="1" ht="30" customHeight="1">
      <c r="A1" s="349" t="s">
        <v>84</v>
      </c>
      <c r="B1" s="349"/>
      <c r="C1" s="349"/>
      <c r="D1" s="349"/>
      <c r="E1" s="349"/>
      <c r="F1" s="349"/>
    </row>
    <row r="2" spans="1:6" ht="20.100000000000001" customHeight="1">
      <c r="A2" s="161" t="s">
        <v>85</v>
      </c>
      <c r="E2"/>
      <c r="F2" s="7" t="s">
        <v>86</v>
      </c>
    </row>
    <row r="3" spans="1:6" s="294" customFormat="1" ht="35.1" customHeight="1">
      <c r="A3" s="8" t="s">
        <v>54</v>
      </c>
      <c r="B3" s="58" t="s">
        <v>55</v>
      </c>
      <c r="C3" s="299" t="s">
        <v>57</v>
      </c>
      <c r="D3" s="299" t="s">
        <v>87</v>
      </c>
      <c r="E3" s="300" t="s">
        <v>59</v>
      </c>
      <c r="F3" s="299" t="s">
        <v>88</v>
      </c>
    </row>
    <row r="4" spans="1:6" s="295" customFormat="1" ht="23.25" customHeight="1">
      <c r="A4" s="301" t="s">
        <v>89</v>
      </c>
      <c r="B4" s="290">
        <v>147630</v>
      </c>
      <c r="C4" s="290">
        <v>160063</v>
      </c>
      <c r="D4" s="331"/>
      <c r="E4" s="303">
        <f t="shared" ref="E4:E18" si="0">(C4/B4-1)*100</f>
        <v>8.4</v>
      </c>
      <c r="F4" s="310"/>
    </row>
    <row r="5" spans="1:6" s="295" customFormat="1" ht="23.25" customHeight="1">
      <c r="A5" s="301" t="s">
        <v>90</v>
      </c>
      <c r="B5" s="290">
        <v>1598</v>
      </c>
      <c r="C5" s="290">
        <v>1770</v>
      </c>
      <c r="D5" s="331"/>
      <c r="E5" s="303">
        <f t="shared" si="0"/>
        <v>10.8</v>
      </c>
      <c r="F5" s="310"/>
    </row>
    <row r="6" spans="1:6" s="295" customFormat="1" ht="23.25" customHeight="1">
      <c r="A6" s="301" t="s">
        <v>91</v>
      </c>
      <c r="B6" s="290">
        <v>70748</v>
      </c>
      <c r="C6" s="290">
        <v>68045</v>
      </c>
      <c r="D6" s="331"/>
      <c r="E6" s="303">
        <f t="shared" si="0"/>
        <v>-3.8</v>
      </c>
      <c r="F6" s="310"/>
    </row>
    <row r="7" spans="1:6" s="295" customFormat="1" ht="23.25" customHeight="1">
      <c r="A7" s="301" t="s">
        <v>92</v>
      </c>
      <c r="B7" s="290">
        <v>201373</v>
      </c>
      <c r="C7" s="290">
        <v>208470</v>
      </c>
      <c r="D7" s="331"/>
      <c r="E7" s="303">
        <f t="shared" si="0"/>
        <v>3.5</v>
      </c>
      <c r="F7" s="332"/>
    </row>
    <row r="8" spans="1:6" s="295" customFormat="1" ht="23.25" customHeight="1">
      <c r="A8" s="301" t="s">
        <v>93</v>
      </c>
      <c r="B8" s="290">
        <v>3825</v>
      </c>
      <c r="C8" s="290">
        <v>6267</v>
      </c>
      <c r="D8" s="331"/>
      <c r="E8" s="303">
        <f t="shared" si="0"/>
        <v>63.8</v>
      </c>
      <c r="F8" s="332"/>
    </row>
    <row r="9" spans="1:6" s="295" customFormat="1" ht="23.25" customHeight="1">
      <c r="A9" s="301" t="s">
        <v>94</v>
      </c>
      <c r="B9" s="290">
        <v>48009</v>
      </c>
      <c r="C9" s="290">
        <v>42708</v>
      </c>
      <c r="D9" s="331"/>
      <c r="E9" s="303">
        <f t="shared" si="0"/>
        <v>-11</v>
      </c>
      <c r="F9" s="332"/>
    </row>
    <row r="10" spans="1:6" s="295" customFormat="1" ht="23.25" customHeight="1">
      <c r="A10" s="301" t="s">
        <v>95</v>
      </c>
      <c r="B10" s="290">
        <v>145034</v>
      </c>
      <c r="C10" s="290">
        <v>152335</v>
      </c>
      <c r="D10" s="331"/>
      <c r="E10" s="303">
        <f t="shared" si="0"/>
        <v>5</v>
      </c>
      <c r="F10" s="332"/>
    </row>
    <row r="11" spans="1:6" s="295" customFormat="1" ht="23.25" customHeight="1">
      <c r="A11" s="301" t="s">
        <v>96</v>
      </c>
      <c r="B11" s="290">
        <v>80276</v>
      </c>
      <c r="C11" s="290">
        <v>123846</v>
      </c>
      <c r="D11" s="331"/>
      <c r="E11" s="303">
        <f t="shared" si="0"/>
        <v>54.3</v>
      </c>
      <c r="F11" s="332"/>
    </row>
    <row r="12" spans="1:6" s="295" customFormat="1" ht="23.25" customHeight="1">
      <c r="A12" s="301" t="s">
        <v>97</v>
      </c>
      <c r="B12" s="290">
        <v>43127</v>
      </c>
      <c r="C12" s="290">
        <v>64419</v>
      </c>
      <c r="D12" s="331"/>
      <c r="E12" s="303">
        <f t="shared" si="0"/>
        <v>49.4</v>
      </c>
      <c r="F12" s="333"/>
    </row>
    <row r="13" spans="1:6" s="295" customFormat="1" ht="23.25" customHeight="1">
      <c r="A13" s="301" t="s">
        <v>98</v>
      </c>
      <c r="B13" s="290">
        <v>120356</v>
      </c>
      <c r="C13" s="290">
        <v>122683</v>
      </c>
      <c r="D13" s="331"/>
      <c r="E13" s="303">
        <f t="shared" si="0"/>
        <v>1.9</v>
      </c>
      <c r="F13" s="332"/>
    </row>
    <row r="14" spans="1:6" s="295" customFormat="1" ht="23.25" customHeight="1">
      <c r="A14" s="301" t="s">
        <v>99</v>
      </c>
      <c r="B14" s="290">
        <v>167430</v>
      </c>
      <c r="C14" s="290">
        <v>167532</v>
      </c>
      <c r="D14" s="331"/>
      <c r="E14" s="303">
        <f t="shared" si="0"/>
        <v>0.1</v>
      </c>
      <c r="F14" s="332"/>
    </row>
    <row r="15" spans="1:6" s="295" customFormat="1" ht="23.25" customHeight="1">
      <c r="A15" s="301" t="s">
        <v>100</v>
      </c>
      <c r="B15" s="290">
        <v>27812</v>
      </c>
      <c r="C15" s="290">
        <v>34446</v>
      </c>
      <c r="D15" s="331"/>
      <c r="E15" s="303">
        <f t="shared" si="0"/>
        <v>23.9</v>
      </c>
      <c r="F15" s="332"/>
    </row>
    <row r="16" spans="1:6" s="295" customFormat="1" ht="23.25" customHeight="1">
      <c r="A16" s="301" t="s">
        <v>101</v>
      </c>
      <c r="B16" s="290">
        <v>19212</v>
      </c>
      <c r="C16" s="290">
        <v>20539</v>
      </c>
      <c r="D16" s="331"/>
      <c r="E16" s="303">
        <f t="shared" si="0"/>
        <v>6.9</v>
      </c>
      <c r="F16" s="332"/>
    </row>
    <row r="17" spans="1:7" s="295" customFormat="1" ht="23.25" customHeight="1">
      <c r="A17" s="301" t="s">
        <v>102</v>
      </c>
      <c r="B17" s="290">
        <v>4662</v>
      </c>
      <c r="C17" s="290">
        <v>4721</v>
      </c>
      <c r="D17" s="331"/>
      <c r="E17" s="303">
        <f t="shared" si="0"/>
        <v>1.3</v>
      </c>
      <c r="F17" s="332"/>
    </row>
    <row r="18" spans="1:7" s="295" customFormat="1" ht="23.25" customHeight="1">
      <c r="A18" s="301" t="s">
        <v>103</v>
      </c>
      <c r="B18" s="290">
        <v>1622</v>
      </c>
      <c r="C18" s="290">
        <v>3086</v>
      </c>
      <c r="D18" s="331"/>
      <c r="E18" s="303">
        <f t="shared" si="0"/>
        <v>90.3</v>
      </c>
      <c r="F18" s="332"/>
    </row>
    <row r="19" spans="1:7" s="295" customFormat="1" ht="23.25" customHeight="1">
      <c r="A19" s="301" t="s">
        <v>104</v>
      </c>
      <c r="B19" s="290"/>
      <c r="C19" s="290"/>
      <c r="D19" s="331"/>
      <c r="E19" s="303"/>
      <c r="F19" s="332"/>
      <c r="G19" s="296"/>
    </row>
    <row r="20" spans="1:7" s="295" customFormat="1" ht="23.25" customHeight="1">
      <c r="A20" s="301" t="s">
        <v>105</v>
      </c>
      <c r="B20" s="290">
        <v>32127</v>
      </c>
      <c r="C20" s="290">
        <v>25466</v>
      </c>
      <c r="D20" s="331"/>
      <c r="E20" s="303">
        <f t="shared" ref="E20:E22" si="1">(C20/B20-1)*100</f>
        <v>-20.7</v>
      </c>
      <c r="F20" s="332"/>
    </row>
    <row r="21" spans="1:7" s="295" customFormat="1" ht="23.25" customHeight="1">
      <c r="A21" s="301" t="s">
        <v>106</v>
      </c>
      <c r="B21" s="290">
        <v>67618</v>
      </c>
      <c r="C21" s="290">
        <v>56054</v>
      </c>
      <c r="D21" s="331"/>
      <c r="E21" s="303">
        <f t="shared" si="1"/>
        <v>-17.100000000000001</v>
      </c>
      <c r="F21" s="332"/>
    </row>
    <row r="22" spans="1:7" s="295" customFormat="1" ht="23.25" customHeight="1">
      <c r="A22" s="301" t="s">
        <v>107</v>
      </c>
      <c r="B22" s="290">
        <v>1810</v>
      </c>
      <c r="C22" s="290">
        <v>5543</v>
      </c>
      <c r="D22" s="331"/>
      <c r="E22" s="303">
        <f t="shared" si="1"/>
        <v>206.2</v>
      </c>
      <c r="F22" s="332"/>
    </row>
    <row r="23" spans="1:7" s="295" customFormat="1" ht="23.25" customHeight="1">
      <c r="A23" s="301" t="s">
        <v>108</v>
      </c>
      <c r="B23" s="290">
        <v>11018</v>
      </c>
      <c r="C23" s="290">
        <v>12335</v>
      </c>
      <c r="D23" s="331"/>
      <c r="E23" s="303"/>
      <c r="F23" s="305" t="s">
        <v>109</v>
      </c>
    </row>
    <row r="24" spans="1:7" s="295" customFormat="1" ht="23.25" customHeight="1">
      <c r="A24" s="301" t="s">
        <v>110</v>
      </c>
      <c r="B24" s="290">
        <v>30273</v>
      </c>
      <c r="C24" s="290">
        <v>31909</v>
      </c>
      <c r="D24" s="331"/>
      <c r="E24" s="303">
        <f t="shared" ref="E24:E26" si="2">(C24/B24-1)*100</f>
        <v>5.4</v>
      </c>
      <c r="F24" s="334"/>
    </row>
    <row r="25" spans="1:7" s="295" customFormat="1" ht="23.25" customHeight="1">
      <c r="A25" s="301" t="s">
        <v>111</v>
      </c>
      <c r="B25" s="290">
        <v>126</v>
      </c>
      <c r="C25" s="290">
        <v>206</v>
      </c>
      <c r="D25" s="331"/>
      <c r="E25" s="303">
        <f t="shared" si="2"/>
        <v>63.5</v>
      </c>
      <c r="F25" s="334"/>
    </row>
    <row r="26" spans="1:7" s="295" customFormat="1" ht="23.25" customHeight="1">
      <c r="A26" s="301" t="s">
        <v>112</v>
      </c>
      <c r="B26" s="290">
        <v>10211</v>
      </c>
      <c r="C26" s="290">
        <v>7621</v>
      </c>
      <c r="D26" s="331"/>
      <c r="E26" s="303">
        <f t="shared" si="2"/>
        <v>-25.4</v>
      </c>
      <c r="F26" s="177"/>
    </row>
    <row r="27" spans="1:7" s="295" customFormat="1" ht="23.25" customHeight="1">
      <c r="A27" s="308"/>
      <c r="B27" s="290"/>
      <c r="C27" s="290"/>
      <c r="D27" s="309"/>
      <c r="E27" s="303"/>
      <c r="F27" s="310"/>
    </row>
    <row r="28" spans="1:7" s="295" customFormat="1" ht="23.25" customHeight="1">
      <c r="A28" s="311" t="s">
        <v>113</v>
      </c>
      <c r="B28" s="287">
        <f>SUM(B4:B26)</f>
        <v>1235897</v>
      </c>
      <c r="C28" s="287">
        <f>SUM(C4:C26)</f>
        <v>1320064</v>
      </c>
      <c r="D28" s="287">
        <f>SUM(D4:D26)</f>
        <v>0</v>
      </c>
      <c r="E28" s="313">
        <f>(C28/B28-1)*100</f>
        <v>6.8</v>
      </c>
      <c r="F28" s="314"/>
    </row>
    <row r="29" spans="1:7" ht="21.75" customHeight="1"/>
    <row r="30" spans="1:7" ht="21.75" customHeight="1"/>
    <row r="31" spans="1:7" ht="21.75" customHeight="1"/>
    <row r="32" spans="1:7"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sheetData>
  <mergeCells count="1">
    <mergeCell ref="A1:F1"/>
  </mergeCells>
  <phoneticPr fontId="54" type="noConversion"/>
  <printOptions horizontalCentered="1"/>
  <pageMargins left="0.74791666666666701" right="0.74791666666666701" top="0.78680555555555598" bottom="0.98402777777777795" header="0.51180555555555596" footer="0.5118055555555559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37"/>
  <sheetViews>
    <sheetView workbookViewId="0">
      <selection activeCell="C18" sqref="C18"/>
    </sheetView>
  </sheetViews>
  <sheetFormatPr defaultColWidth="9" defaultRowHeight="14.25"/>
  <cols>
    <col min="1" max="1" width="33.625" style="52" customWidth="1"/>
    <col min="2" max="4" width="8.25" style="52" customWidth="1"/>
    <col min="5" max="5" width="9.625" style="52" customWidth="1"/>
    <col min="6" max="6" width="10.5" style="52" customWidth="1"/>
    <col min="7" max="7" width="9" style="52" customWidth="1"/>
    <col min="8" max="9" width="9" style="52" hidden="1" customWidth="1"/>
    <col min="10" max="10" width="13.625" style="52" hidden="1" customWidth="1"/>
    <col min="11" max="13" width="9" style="52" hidden="1" customWidth="1"/>
    <col min="14" max="255" width="9" style="52" customWidth="1"/>
  </cols>
  <sheetData>
    <row r="1" spans="1:11" ht="30" customHeight="1">
      <c r="A1" s="349" t="s">
        <v>114</v>
      </c>
      <c r="B1" s="349"/>
      <c r="C1" s="349"/>
      <c r="D1" s="349"/>
      <c r="E1" s="349"/>
      <c r="F1" s="349"/>
    </row>
    <row r="2" spans="1:11" ht="20.100000000000001" customHeight="1">
      <c r="A2" s="161" t="s">
        <v>115</v>
      </c>
      <c r="E2"/>
      <c r="F2" s="7" t="s">
        <v>53</v>
      </c>
    </row>
    <row r="3" spans="1:11" s="294" customFormat="1" ht="35.1" customHeight="1">
      <c r="A3" s="8" t="s">
        <v>54</v>
      </c>
      <c r="B3" s="58" t="s">
        <v>55</v>
      </c>
      <c r="C3" s="58" t="s">
        <v>56</v>
      </c>
      <c r="D3" s="299" t="s">
        <v>57</v>
      </c>
      <c r="E3" s="315" t="s">
        <v>58</v>
      </c>
      <c r="F3" s="174" t="s">
        <v>59</v>
      </c>
    </row>
    <row r="4" spans="1:11" s="295" customFormat="1" ht="23.25" customHeight="1">
      <c r="A4" s="316" t="s">
        <v>60</v>
      </c>
      <c r="B4" s="287">
        <f>SUM(B5:B18)</f>
        <v>76027</v>
      </c>
      <c r="C4" s="287">
        <f>SUM(C5:C18)</f>
        <v>80600</v>
      </c>
      <c r="D4" s="287">
        <f>SUM(D5:D18)</f>
        <v>59736</v>
      </c>
      <c r="E4" s="317">
        <f t="shared" ref="E4:E6" si="0">D4/C4*100</f>
        <v>74.11</v>
      </c>
      <c r="F4" s="313">
        <f t="shared" ref="F4:F6" si="1">(D4/B4-1)*100</f>
        <v>-21.4</v>
      </c>
      <c r="J4" s="326" t="s">
        <v>60</v>
      </c>
      <c r="K4" s="327">
        <v>4740324</v>
      </c>
    </row>
    <row r="5" spans="1:11" s="295" customFormat="1" ht="23.25" customHeight="1">
      <c r="A5" s="318" t="s">
        <v>61</v>
      </c>
      <c r="B5" s="290">
        <v>36517</v>
      </c>
      <c r="C5" s="290">
        <v>38500</v>
      </c>
      <c r="D5" s="290">
        <v>26477</v>
      </c>
      <c r="E5" s="319">
        <f t="shared" si="0"/>
        <v>68.77</v>
      </c>
      <c r="F5" s="303">
        <f t="shared" si="1"/>
        <v>-27.5</v>
      </c>
      <c r="J5" s="269" t="s">
        <v>116</v>
      </c>
      <c r="K5" s="328">
        <v>2398038</v>
      </c>
    </row>
    <row r="6" spans="1:11" s="295" customFormat="1" ht="23.25" customHeight="1">
      <c r="A6" s="318" t="s">
        <v>62</v>
      </c>
      <c r="B6" s="290">
        <v>649</v>
      </c>
      <c r="C6" s="290">
        <v>760</v>
      </c>
      <c r="D6" s="290">
        <v>1683</v>
      </c>
      <c r="E6" s="319">
        <f t="shared" si="0"/>
        <v>221.45</v>
      </c>
      <c r="F6" s="303">
        <f t="shared" si="1"/>
        <v>159.30000000000001</v>
      </c>
      <c r="J6" s="269" t="s">
        <v>117</v>
      </c>
      <c r="K6" s="328">
        <v>1014227</v>
      </c>
    </row>
    <row r="7" spans="1:11" s="295" customFormat="1" ht="23.25" customHeight="1">
      <c r="A7" s="318" t="s">
        <v>63</v>
      </c>
      <c r="B7" s="290">
        <v>535</v>
      </c>
      <c r="C7" s="290">
        <v>650</v>
      </c>
      <c r="D7" s="290">
        <v>433</v>
      </c>
      <c r="E7" s="319">
        <f t="shared" ref="E7:E12" si="2">D7/C7*100</f>
        <v>66.62</v>
      </c>
      <c r="F7" s="303">
        <f t="shared" ref="F7:F12" si="3">(D7/B7-1)*100</f>
        <v>-19.100000000000001</v>
      </c>
      <c r="J7" s="269"/>
      <c r="K7" s="328"/>
    </row>
    <row r="8" spans="1:11" s="295" customFormat="1" ht="23.25" customHeight="1">
      <c r="A8" s="318" t="s">
        <v>64</v>
      </c>
      <c r="B8" s="290">
        <v>16056</v>
      </c>
      <c r="C8" s="290">
        <v>15500</v>
      </c>
      <c r="D8" s="290">
        <v>16031</v>
      </c>
      <c r="E8" s="319">
        <f t="shared" si="2"/>
        <v>103.43</v>
      </c>
      <c r="F8" s="303">
        <f t="shared" si="3"/>
        <v>-0.2</v>
      </c>
      <c r="J8" s="269"/>
      <c r="K8" s="328"/>
    </row>
    <row r="9" spans="1:11" s="295" customFormat="1" ht="23.25" customHeight="1">
      <c r="A9" s="318" t="s">
        <v>65</v>
      </c>
      <c r="B9" s="290">
        <v>5894</v>
      </c>
      <c r="C9" s="290">
        <v>6200</v>
      </c>
      <c r="D9" s="290">
        <v>4979</v>
      </c>
      <c r="E9" s="319">
        <f t="shared" si="2"/>
        <v>80.31</v>
      </c>
      <c r="F9" s="303">
        <f t="shared" si="3"/>
        <v>-15.5</v>
      </c>
      <c r="J9" s="269"/>
      <c r="K9" s="328"/>
    </row>
    <row r="10" spans="1:11" s="295" customFormat="1" ht="23.25" customHeight="1">
      <c r="A10" s="318" t="s">
        <v>66</v>
      </c>
      <c r="B10" s="290">
        <v>3451</v>
      </c>
      <c r="C10" s="290">
        <v>3600</v>
      </c>
      <c r="D10" s="290">
        <v>2737</v>
      </c>
      <c r="E10" s="319">
        <f t="shared" si="2"/>
        <v>76.03</v>
      </c>
      <c r="F10" s="303">
        <f t="shared" si="3"/>
        <v>-20.7</v>
      </c>
      <c r="J10" s="269"/>
      <c r="K10" s="328"/>
    </row>
    <row r="11" spans="1:11" s="295" customFormat="1" ht="23.25" customHeight="1">
      <c r="A11" s="318" t="s">
        <v>67</v>
      </c>
      <c r="B11" s="290">
        <v>1317</v>
      </c>
      <c r="C11" s="290">
        <v>1500</v>
      </c>
      <c r="D11" s="290">
        <v>1402</v>
      </c>
      <c r="E11" s="319">
        <f t="shared" si="2"/>
        <v>93.47</v>
      </c>
      <c r="F11" s="303">
        <f t="shared" si="3"/>
        <v>6.5</v>
      </c>
      <c r="J11" s="269"/>
      <c r="K11" s="328"/>
    </row>
    <row r="12" spans="1:11" s="295" customFormat="1" ht="23.25" customHeight="1">
      <c r="A12" s="318" t="s">
        <v>68</v>
      </c>
      <c r="B12" s="290">
        <v>1978</v>
      </c>
      <c r="C12" s="290">
        <v>2300</v>
      </c>
      <c r="D12" s="290">
        <v>1764</v>
      </c>
      <c r="E12" s="319">
        <f t="shared" si="2"/>
        <v>76.7</v>
      </c>
      <c r="F12" s="303">
        <f t="shared" si="3"/>
        <v>-10.8</v>
      </c>
      <c r="J12" s="269"/>
      <c r="K12" s="328"/>
    </row>
    <row r="13" spans="1:11" s="295" customFormat="1" ht="23.25" customHeight="1">
      <c r="A13" s="318" t="s">
        <v>69</v>
      </c>
      <c r="B13" s="290"/>
      <c r="C13" s="290"/>
      <c r="D13" s="290">
        <v>575</v>
      </c>
      <c r="E13" s="319"/>
      <c r="F13" s="303"/>
      <c r="J13" s="269" t="s">
        <v>118</v>
      </c>
      <c r="K13" s="328">
        <v>454476</v>
      </c>
    </row>
    <row r="14" spans="1:11" s="295" customFormat="1" ht="23.25" customHeight="1">
      <c r="A14" s="318" t="s">
        <v>70</v>
      </c>
      <c r="B14" s="290">
        <v>1230</v>
      </c>
      <c r="C14" s="290">
        <v>1340</v>
      </c>
      <c r="D14" s="290">
        <v>1453</v>
      </c>
      <c r="E14" s="319">
        <f t="shared" ref="E14:E17" si="4">D14/C14*100</f>
        <v>108.43</v>
      </c>
      <c r="F14" s="303">
        <f t="shared" ref="F14:F17" si="5">(D14/B14-1)*100</f>
        <v>18.100000000000001</v>
      </c>
      <c r="J14" s="269" t="s">
        <v>119</v>
      </c>
      <c r="K14" s="328">
        <v>525744</v>
      </c>
    </row>
    <row r="15" spans="1:11" s="295" customFormat="1" ht="23.25" customHeight="1">
      <c r="A15" s="318" t="s">
        <v>71</v>
      </c>
      <c r="B15" s="290">
        <v>2916</v>
      </c>
      <c r="C15" s="290">
        <v>3600</v>
      </c>
      <c r="D15" s="290">
        <v>5044</v>
      </c>
      <c r="E15" s="319">
        <f t="shared" si="4"/>
        <v>140.11000000000001</v>
      </c>
      <c r="F15" s="303">
        <f t="shared" si="5"/>
        <v>73</v>
      </c>
      <c r="J15" s="269" t="s">
        <v>120</v>
      </c>
      <c r="K15" s="328">
        <v>30000</v>
      </c>
    </row>
    <row r="16" spans="1:11" s="295" customFormat="1" ht="23.25" customHeight="1">
      <c r="A16" s="318" t="s">
        <v>72</v>
      </c>
      <c r="B16" s="290">
        <v>4908</v>
      </c>
      <c r="C16" s="290">
        <v>6000</v>
      </c>
      <c r="D16" s="290">
        <v>-3386</v>
      </c>
      <c r="E16" s="319">
        <f t="shared" si="4"/>
        <v>-56.43</v>
      </c>
      <c r="F16" s="303">
        <f t="shared" si="5"/>
        <v>-169</v>
      </c>
      <c r="J16" s="269" t="s">
        <v>121</v>
      </c>
      <c r="K16" s="328">
        <v>158398</v>
      </c>
    </row>
    <row r="17" spans="1:11" s="295" customFormat="1" ht="23.25" customHeight="1">
      <c r="A17" s="320" t="s">
        <v>73</v>
      </c>
      <c r="B17" s="290">
        <v>533</v>
      </c>
      <c r="C17" s="290">
        <v>650</v>
      </c>
      <c r="D17" s="290">
        <v>544</v>
      </c>
      <c r="E17" s="319">
        <f t="shared" si="4"/>
        <v>83.69</v>
      </c>
      <c r="F17" s="303">
        <f t="shared" si="5"/>
        <v>2.1</v>
      </c>
      <c r="J17" s="269" t="s">
        <v>122</v>
      </c>
      <c r="K17" s="328">
        <v>130041</v>
      </c>
    </row>
    <row r="18" spans="1:11" s="295" customFormat="1" ht="23.25" customHeight="1">
      <c r="A18" s="320" t="s">
        <v>74</v>
      </c>
      <c r="B18" s="290">
        <v>43</v>
      </c>
      <c r="C18" s="290"/>
      <c r="D18" s="290"/>
      <c r="E18" s="319"/>
      <c r="F18" s="303"/>
      <c r="J18" s="269" t="s">
        <v>123</v>
      </c>
      <c r="K18" s="328">
        <v>29400</v>
      </c>
    </row>
    <row r="19" spans="1:11" s="295" customFormat="1" ht="24.95" customHeight="1">
      <c r="A19" s="321" t="s">
        <v>75</v>
      </c>
      <c r="B19" s="287">
        <f>SUM(B20:B26)</f>
        <v>32446</v>
      </c>
      <c r="C19" s="287">
        <f>SUM(C20:C26)</f>
        <v>31630</v>
      </c>
      <c r="D19" s="287">
        <f>SUM(D20:D26)</f>
        <v>49896</v>
      </c>
      <c r="E19" s="317">
        <f t="shared" ref="E19:E22" si="6">D19/C19*100</f>
        <v>157.75</v>
      </c>
      <c r="F19" s="313">
        <f t="shared" ref="F19:F22" si="7">(D19/B19-1)*100</f>
        <v>53.8</v>
      </c>
      <c r="J19" s="326" t="s">
        <v>75</v>
      </c>
      <c r="K19" s="329">
        <v>959676</v>
      </c>
    </row>
    <row r="20" spans="1:11" s="295" customFormat="1" ht="24.95" customHeight="1">
      <c r="A20" s="322" t="s">
        <v>76</v>
      </c>
      <c r="B20" s="290">
        <v>6470</v>
      </c>
      <c r="C20" s="290">
        <v>5900</v>
      </c>
      <c r="D20" s="290">
        <v>6699</v>
      </c>
      <c r="E20" s="319">
        <f t="shared" si="6"/>
        <v>113.54</v>
      </c>
      <c r="F20" s="303">
        <f t="shared" si="7"/>
        <v>3.5</v>
      </c>
      <c r="J20" s="269" t="s">
        <v>124</v>
      </c>
      <c r="K20" s="330">
        <v>378426</v>
      </c>
    </row>
    <row r="21" spans="1:11" s="295" customFormat="1" ht="24.95" customHeight="1">
      <c r="A21" s="322" t="s">
        <v>77</v>
      </c>
      <c r="B21" s="290">
        <v>6519</v>
      </c>
      <c r="C21" s="290">
        <v>6600</v>
      </c>
      <c r="D21" s="290">
        <v>8438</v>
      </c>
      <c r="E21" s="319">
        <f t="shared" si="6"/>
        <v>127.85</v>
      </c>
      <c r="F21" s="303">
        <f t="shared" si="7"/>
        <v>29.4</v>
      </c>
      <c r="J21" s="269"/>
      <c r="K21" s="330"/>
    </row>
    <row r="22" spans="1:11" s="295" customFormat="1" ht="24.95" customHeight="1">
      <c r="A22" s="322" t="s">
        <v>78</v>
      </c>
      <c r="B22" s="290">
        <v>7568</v>
      </c>
      <c r="C22" s="290">
        <v>7700</v>
      </c>
      <c r="D22" s="290">
        <v>7734</v>
      </c>
      <c r="E22" s="319">
        <f t="shared" si="6"/>
        <v>100.44</v>
      </c>
      <c r="F22" s="303">
        <f t="shared" si="7"/>
        <v>2.2000000000000002</v>
      </c>
      <c r="J22" s="269"/>
      <c r="K22" s="330"/>
    </row>
    <row r="23" spans="1:11" s="295" customFormat="1" ht="24.95" customHeight="1">
      <c r="A23" s="322" t="s">
        <v>79</v>
      </c>
      <c r="B23" s="290"/>
      <c r="C23" s="290"/>
      <c r="D23" s="290"/>
      <c r="E23" s="319"/>
      <c r="F23" s="303"/>
      <c r="J23" s="269"/>
      <c r="K23" s="330"/>
    </row>
    <row r="24" spans="1:11" s="295" customFormat="1" ht="24.95" customHeight="1">
      <c r="A24" s="322" t="s">
        <v>80</v>
      </c>
      <c r="B24" s="290">
        <v>6670</v>
      </c>
      <c r="C24" s="290">
        <v>6430</v>
      </c>
      <c r="D24" s="290">
        <v>8512</v>
      </c>
      <c r="E24" s="319">
        <f t="shared" ref="E24:E25" si="8">D24/C24*100</f>
        <v>132.38</v>
      </c>
      <c r="F24" s="303">
        <f t="shared" ref="F24:F26" si="9">(D24/B24-1)*100</f>
        <v>27.6</v>
      </c>
      <c r="J24" s="269" t="s">
        <v>125</v>
      </c>
      <c r="K24" s="330">
        <v>160000</v>
      </c>
    </row>
    <row r="25" spans="1:11" s="295" customFormat="1" ht="24.95" customHeight="1">
      <c r="A25" s="322" t="s">
        <v>82</v>
      </c>
      <c r="B25" s="290">
        <v>4854</v>
      </c>
      <c r="C25" s="290">
        <v>5000</v>
      </c>
      <c r="D25" s="290">
        <v>18431</v>
      </c>
      <c r="E25" s="319">
        <f t="shared" si="8"/>
        <v>368.62</v>
      </c>
      <c r="F25" s="303">
        <f t="shared" si="9"/>
        <v>279.7</v>
      </c>
      <c r="J25" s="269" t="s">
        <v>126</v>
      </c>
      <c r="K25" s="330">
        <v>354550</v>
      </c>
    </row>
    <row r="26" spans="1:11" s="295" customFormat="1" ht="24.95" customHeight="1">
      <c r="A26" s="322" t="s">
        <v>74</v>
      </c>
      <c r="B26" s="290">
        <v>365</v>
      </c>
      <c r="C26" s="290"/>
      <c r="D26" s="290">
        <v>82</v>
      </c>
      <c r="E26" s="319"/>
      <c r="F26" s="303">
        <f t="shared" si="9"/>
        <v>-77.5</v>
      </c>
      <c r="J26" s="269" t="s">
        <v>127</v>
      </c>
      <c r="K26" s="330">
        <v>39700</v>
      </c>
    </row>
    <row r="27" spans="1:11" s="295" customFormat="1" ht="24.95" customHeight="1">
      <c r="A27" s="323"/>
      <c r="B27" s="290"/>
      <c r="C27" s="290"/>
      <c r="D27" s="290"/>
      <c r="E27" s="319"/>
      <c r="F27" s="313"/>
    </row>
    <row r="28" spans="1:11" s="295" customFormat="1" ht="24.95" customHeight="1">
      <c r="A28" s="311" t="s">
        <v>83</v>
      </c>
      <c r="B28" s="287">
        <f>B4+B19</f>
        <v>108473</v>
      </c>
      <c r="C28" s="287">
        <f>C4+C19</f>
        <v>112230</v>
      </c>
      <c r="D28" s="287">
        <f>D4+D19</f>
        <v>109632</v>
      </c>
      <c r="E28" s="317">
        <f>D28/C28*100</f>
        <v>97.69</v>
      </c>
      <c r="F28" s="313">
        <f>(D28/B28-1)*100</f>
        <v>1.1000000000000001</v>
      </c>
      <c r="J28" s="52"/>
      <c r="K28" s="52"/>
    </row>
    <row r="29" spans="1:11" ht="20.25" hidden="1" customHeight="1">
      <c r="D29" s="324"/>
    </row>
    <row r="30" spans="1:11" ht="18" customHeight="1">
      <c r="D30" s="325"/>
    </row>
    <row r="31" spans="1:11" ht="18" customHeight="1"/>
    <row r="32" spans="1:11" ht="18" customHeight="1">
      <c r="D32" s="325"/>
    </row>
    <row r="33" spans="4:4" ht="18" customHeight="1">
      <c r="D33" s="325"/>
    </row>
    <row r="34" spans="4:4" ht="18" customHeight="1">
      <c r="D34" s="325"/>
    </row>
    <row r="35" spans="4:4" ht="18" customHeight="1"/>
    <row r="36" spans="4:4" ht="18" customHeight="1"/>
    <row r="37" spans="4:4" ht="18" customHeight="1"/>
  </sheetData>
  <mergeCells count="1">
    <mergeCell ref="A1:F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45"/>
  <sheetViews>
    <sheetView topLeftCell="A16" workbookViewId="0">
      <selection activeCell="A32" sqref="A32"/>
    </sheetView>
  </sheetViews>
  <sheetFormatPr defaultColWidth="9" defaultRowHeight="12.75"/>
  <cols>
    <col min="1" max="1" width="32" style="296" customWidth="1"/>
    <col min="2" max="2" width="11" style="296" customWidth="1"/>
    <col min="3" max="3" width="11.625" style="296" hidden="1" customWidth="1"/>
    <col min="4" max="4" width="12.25" style="296" customWidth="1"/>
    <col min="5" max="5" width="10.75" style="296" hidden="1" customWidth="1"/>
    <col min="6" max="6" width="10.125" style="296" customWidth="1"/>
    <col min="7" max="7" width="15.625" style="296" customWidth="1"/>
    <col min="8" max="8" width="9" style="296" customWidth="1"/>
    <col min="9" max="16384" width="9" style="296"/>
  </cols>
  <sheetData>
    <row r="1" spans="1:256" s="244" customFormat="1" ht="30" customHeight="1">
      <c r="A1" s="349" t="s">
        <v>128</v>
      </c>
      <c r="B1" s="349"/>
      <c r="C1" s="349"/>
      <c r="D1" s="349"/>
      <c r="E1" s="349"/>
      <c r="F1" s="349"/>
      <c r="G1" s="349"/>
    </row>
    <row r="2" spans="1:256" customFormat="1" ht="20.100000000000001" customHeight="1">
      <c r="A2" s="161" t="s">
        <v>129</v>
      </c>
      <c r="B2" s="297"/>
      <c r="C2" s="297"/>
      <c r="D2" s="298"/>
      <c r="E2" s="298"/>
      <c r="G2" s="7" t="s">
        <v>86</v>
      </c>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EY2" s="296"/>
      <c r="EZ2" s="296"/>
      <c r="FA2" s="296"/>
      <c r="FB2" s="296"/>
      <c r="FC2" s="296"/>
      <c r="FD2" s="296"/>
      <c r="FE2" s="296"/>
      <c r="FF2" s="296"/>
      <c r="FG2" s="296"/>
      <c r="FH2" s="296"/>
      <c r="FI2" s="296"/>
      <c r="FJ2" s="296"/>
      <c r="FK2" s="296"/>
      <c r="FL2" s="296"/>
      <c r="FM2" s="296"/>
      <c r="FN2" s="296"/>
      <c r="FO2" s="296"/>
      <c r="FP2" s="296"/>
      <c r="FQ2" s="296"/>
      <c r="FR2" s="296"/>
      <c r="FS2" s="296"/>
      <c r="FT2" s="296"/>
      <c r="FU2" s="296"/>
      <c r="FV2" s="296"/>
      <c r="FW2" s="296"/>
      <c r="FX2" s="296"/>
      <c r="FY2" s="296"/>
      <c r="FZ2" s="296"/>
      <c r="GA2" s="296"/>
      <c r="GB2" s="296"/>
      <c r="GC2" s="296"/>
      <c r="GD2" s="296"/>
      <c r="GE2" s="296"/>
      <c r="GF2" s="296"/>
      <c r="GG2" s="296"/>
      <c r="GH2" s="296"/>
      <c r="GI2" s="296"/>
      <c r="GJ2" s="296"/>
      <c r="GK2" s="296"/>
      <c r="GL2" s="296"/>
      <c r="GM2" s="296"/>
      <c r="GN2" s="296"/>
      <c r="GO2" s="296"/>
      <c r="GP2" s="296"/>
      <c r="GQ2" s="296"/>
      <c r="GR2" s="296"/>
      <c r="GS2" s="296"/>
      <c r="GT2" s="296"/>
      <c r="GU2" s="296"/>
      <c r="GV2" s="296"/>
      <c r="GW2" s="296"/>
      <c r="GX2" s="296"/>
      <c r="GY2" s="296"/>
      <c r="GZ2" s="296"/>
      <c r="HA2" s="296"/>
      <c r="HB2" s="296"/>
      <c r="HC2" s="296"/>
      <c r="HD2" s="296"/>
      <c r="HE2" s="296"/>
      <c r="HF2" s="296"/>
      <c r="HG2" s="296"/>
      <c r="HH2" s="296"/>
      <c r="HI2" s="296"/>
      <c r="HJ2" s="296"/>
      <c r="HK2" s="296"/>
      <c r="HL2" s="296"/>
      <c r="HM2" s="296"/>
      <c r="HN2" s="296"/>
      <c r="HO2" s="296"/>
      <c r="HP2" s="296"/>
      <c r="HQ2" s="296"/>
      <c r="HR2" s="296"/>
      <c r="HS2" s="296"/>
      <c r="HT2" s="296"/>
      <c r="HU2" s="296"/>
      <c r="HV2" s="296"/>
      <c r="HW2" s="296"/>
      <c r="HX2" s="296"/>
      <c r="HY2" s="296"/>
      <c r="HZ2" s="296"/>
      <c r="IA2" s="296"/>
      <c r="IB2" s="296"/>
      <c r="IC2" s="296"/>
      <c r="ID2" s="296"/>
      <c r="IE2" s="296"/>
      <c r="IF2" s="296"/>
      <c r="IG2" s="296"/>
      <c r="IH2" s="296"/>
      <c r="II2" s="296"/>
      <c r="IJ2" s="296"/>
      <c r="IK2" s="296"/>
      <c r="IL2" s="296"/>
      <c r="IM2" s="296"/>
      <c r="IN2" s="296"/>
      <c r="IO2" s="296"/>
      <c r="IP2" s="296"/>
      <c r="IQ2" s="296"/>
      <c r="IR2" s="296"/>
      <c r="IS2" s="296"/>
      <c r="IT2" s="296"/>
      <c r="IU2" s="296"/>
      <c r="IV2" s="296"/>
    </row>
    <row r="3" spans="1:256" s="294" customFormat="1" ht="35.1" customHeight="1">
      <c r="A3" s="8" t="s">
        <v>54</v>
      </c>
      <c r="B3" s="58" t="s">
        <v>55</v>
      </c>
      <c r="C3" s="58" t="s">
        <v>130</v>
      </c>
      <c r="D3" s="299" t="s">
        <v>57</v>
      </c>
      <c r="E3" s="300" t="s">
        <v>87</v>
      </c>
      <c r="F3" s="300" t="s">
        <v>131</v>
      </c>
      <c r="G3" s="299" t="s">
        <v>88</v>
      </c>
    </row>
    <row r="4" spans="1:256" customFormat="1" ht="24" customHeight="1">
      <c r="A4" s="301" t="s">
        <v>89</v>
      </c>
      <c r="B4" s="290">
        <v>53157</v>
      </c>
      <c r="C4" s="290"/>
      <c r="D4" s="290">
        <v>58770</v>
      </c>
      <c r="E4" s="302"/>
      <c r="F4" s="303">
        <f t="shared" ref="F4:F18" si="0">(D4/B4-1)*100</f>
        <v>10.6</v>
      </c>
      <c r="G4" s="304"/>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c r="FA4" s="296"/>
      <c r="FB4" s="296"/>
      <c r="FC4" s="296"/>
      <c r="FD4" s="296"/>
      <c r="FE4" s="296"/>
      <c r="FF4" s="296"/>
      <c r="FG4" s="296"/>
      <c r="FH4" s="296"/>
      <c r="FI4" s="296"/>
      <c r="FJ4" s="296"/>
      <c r="FK4" s="296"/>
      <c r="FL4" s="296"/>
      <c r="FM4" s="296"/>
      <c r="FN4" s="296"/>
      <c r="FO4" s="296"/>
      <c r="FP4" s="296"/>
      <c r="FQ4" s="296"/>
      <c r="FR4" s="296"/>
      <c r="FS4" s="296"/>
      <c r="FT4" s="296"/>
      <c r="FU4" s="296"/>
      <c r="FV4" s="296"/>
      <c r="FW4" s="296"/>
      <c r="FX4" s="296"/>
      <c r="FY4" s="296"/>
      <c r="FZ4" s="296"/>
      <c r="GA4" s="296"/>
      <c r="GB4" s="296"/>
      <c r="GC4" s="296"/>
      <c r="GD4" s="296"/>
      <c r="GE4" s="296"/>
      <c r="GF4" s="296"/>
      <c r="GG4" s="296"/>
      <c r="GH4" s="296"/>
      <c r="GI4" s="296"/>
      <c r="GJ4" s="296"/>
      <c r="GK4" s="296"/>
      <c r="GL4" s="296"/>
      <c r="GM4" s="296"/>
      <c r="GN4" s="296"/>
      <c r="GO4" s="296"/>
      <c r="GP4" s="296"/>
      <c r="GQ4" s="296"/>
      <c r="GR4" s="296"/>
      <c r="GS4" s="296"/>
      <c r="GT4" s="296"/>
      <c r="GU4" s="296"/>
      <c r="GV4" s="296"/>
      <c r="GW4" s="296"/>
      <c r="GX4" s="296"/>
      <c r="GY4" s="296"/>
      <c r="GZ4" s="296"/>
      <c r="HA4" s="296"/>
      <c r="HB4" s="296"/>
      <c r="HC4" s="296"/>
      <c r="HD4" s="296"/>
      <c r="HE4" s="296"/>
      <c r="HF4" s="296"/>
      <c r="HG4" s="296"/>
      <c r="HH4" s="296"/>
      <c r="HI4" s="296"/>
      <c r="HJ4" s="296"/>
      <c r="HK4" s="296"/>
      <c r="HL4" s="296"/>
      <c r="HM4" s="296"/>
      <c r="HN4" s="296"/>
      <c r="HO4" s="296"/>
      <c r="HP4" s="296"/>
      <c r="HQ4" s="296"/>
      <c r="HR4" s="296"/>
      <c r="HS4" s="296"/>
      <c r="HT4" s="296"/>
      <c r="HU4" s="296"/>
      <c r="HV4" s="296"/>
      <c r="HW4" s="296"/>
      <c r="HX4" s="296"/>
      <c r="HY4" s="296"/>
      <c r="HZ4" s="296"/>
      <c r="IA4" s="296"/>
      <c r="IB4" s="296"/>
      <c r="IC4" s="296"/>
      <c r="ID4" s="296"/>
      <c r="IE4" s="296"/>
      <c r="IF4" s="296"/>
      <c r="IG4" s="296"/>
      <c r="IH4" s="296"/>
      <c r="II4" s="296"/>
      <c r="IJ4" s="296"/>
      <c r="IK4" s="296"/>
      <c r="IL4" s="296"/>
      <c r="IM4" s="296"/>
      <c r="IN4" s="296"/>
      <c r="IO4" s="296"/>
      <c r="IP4" s="296"/>
      <c r="IQ4" s="296"/>
      <c r="IR4" s="296"/>
      <c r="IS4" s="296"/>
      <c r="IT4" s="296"/>
      <c r="IU4" s="296"/>
      <c r="IV4" s="296"/>
    </row>
    <row r="5" spans="1:256" customFormat="1" ht="24" customHeight="1">
      <c r="A5" s="301" t="s">
        <v>90</v>
      </c>
      <c r="B5" s="290">
        <v>1399</v>
      </c>
      <c r="C5" s="290"/>
      <c r="D5" s="290">
        <v>1596</v>
      </c>
      <c r="E5" s="302"/>
      <c r="F5" s="303">
        <f t="shared" si="0"/>
        <v>14.1</v>
      </c>
      <c r="G5" s="177"/>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296"/>
      <c r="DG5" s="296"/>
      <c r="DH5" s="296"/>
      <c r="DI5" s="296"/>
      <c r="DJ5" s="296"/>
      <c r="DK5" s="296"/>
      <c r="DL5" s="296"/>
      <c r="DM5" s="296"/>
      <c r="DN5" s="296"/>
      <c r="DO5" s="296"/>
      <c r="DP5" s="296"/>
      <c r="DQ5" s="296"/>
      <c r="DR5" s="296"/>
      <c r="DS5" s="296"/>
      <c r="DT5" s="296"/>
      <c r="DU5" s="296"/>
      <c r="DV5" s="296"/>
      <c r="DW5" s="296"/>
      <c r="DX5" s="296"/>
      <c r="DY5" s="296"/>
      <c r="DZ5" s="296"/>
      <c r="EA5" s="296"/>
      <c r="EB5" s="296"/>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G5" s="296"/>
      <c r="FH5" s="296"/>
      <c r="FI5" s="296"/>
      <c r="FJ5" s="296"/>
      <c r="FK5" s="296"/>
      <c r="FL5" s="296"/>
      <c r="FM5" s="296"/>
      <c r="FN5" s="296"/>
      <c r="FO5" s="296"/>
      <c r="FP5" s="296"/>
      <c r="FQ5" s="296"/>
      <c r="FR5" s="296"/>
      <c r="FS5" s="296"/>
      <c r="FT5" s="296"/>
      <c r="FU5" s="296"/>
      <c r="FV5" s="296"/>
      <c r="FW5" s="296"/>
      <c r="FX5" s="296"/>
      <c r="FY5" s="296"/>
      <c r="FZ5" s="296"/>
      <c r="GA5" s="296"/>
      <c r="GB5" s="296"/>
      <c r="GC5" s="296"/>
      <c r="GD5" s="296"/>
      <c r="GE5" s="296"/>
      <c r="GF5" s="296"/>
      <c r="GG5" s="296"/>
      <c r="GH5" s="296"/>
      <c r="GI5" s="296"/>
      <c r="GJ5" s="296"/>
      <c r="GK5" s="296"/>
      <c r="GL5" s="296"/>
      <c r="GM5" s="296"/>
      <c r="GN5" s="296"/>
      <c r="GO5" s="296"/>
      <c r="GP5" s="296"/>
      <c r="GQ5" s="296"/>
      <c r="GR5" s="296"/>
      <c r="GS5" s="296"/>
      <c r="GT5" s="296"/>
      <c r="GU5" s="296"/>
      <c r="GV5" s="296"/>
      <c r="GW5" s="296"/>
      <c r="GX5" s="296"/>
      <c r="GY5" s="296"/>
      <c r="GZ5" s="296"/>
      <c r="HA5" s="296"/>
      <c r="HB5" s="296"/>
      <c r="HC5" s="296"/>
      <c r="HD5" s="296"/>
      <c r="HE5" s="296"/>
      <c r="HF5" s="296"/>
      <c r="HG5" s="296"/>
      <c r="HH5" s="296"/>
      <c r="HI5" s="296"/>
      <c r="HJ5" s="296"/>
      <c r="HK5" s="296"/>
      <c r="HL5" s="296"/>
      <c r="HM5" s="296"/>
      <c r="HN5" s="296"/>
      <c r="HO5" s="296"/>
      <c r="HP5" s="296"/>
      <c r="HQ5" s="296"/>
      <c r="HR5" s="296"/>
      <c r="HS5" s="296"/>
      <c r="HT5" s="296"/>
      <c r="HU5" s="296"/>
      <c r="HV5" s="296"/>
      <c r="HW5" s="296"/>
      <c r="HX5" s="296"/>
      <c r="HY5" s="296"/>
      <c r="HZ5" s="296"/>
      <c r="IA5" s="296"/>
      <c r="IB5" s="296"/>
      <c r="IC5" s="296"/>
      <c r="ID5" s="296"/>
      <c r="IE5" s="296"/>
      <c r="IF5" s="296"/>
      <c r="IG5" s="296"/>
      <c r="IH5" s="296"/>
      <c r="II5" s="296"/>
      <c r="IJ5" s="296"/>
      <c r="IK5" s="296"/>
      <c r="IL5" s="296"/>
      <c r="IM5" s="296"/>
      <c r="IN5" s="296"/>
      <c r="IO5" s="296"/>
      <c r="IP5" s="296"/>
      <c r="IQ5" s="296"/>
      <c r="IR5" s="296"/>
      <c r="IS5" s="296"/>
      <c r="IT5" s="296"/>
      <c r="IU5" s="296"/>
      <c r="IV5" s="296"/>
    </row>
    <row r="6" spans="1:256" customFormat="1" ht="24" customHeight="1">
      <c r="A6" s="301" t="s">
        <v>91</v>
      </c>
      <c r="B6" s="290">
        <v>43728</v>
      </c>
      <c r="C6" s="290"/>
      <c r="D6" s="290">
        <v>40240</v>
      </c>
      <c r="E6" s="302"/>
      <c r="F6" s="303">
        <f t="shared" si="0"/>
        <v>-8</v>
      </c>
      <c r="G6" s="177"/>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c r="DE6" s="296"/>
      <c r="DF6" s="296"/>
      <c r="DG6" s="296"/>
      <c r="DH6" s="296"/>
      <c r="DI6" s="296"/>
      <c r="DJ6" s="296"/>
      <c r="DK6" s="296"/>
      <c r="DL6" s="296"/>
      <c r="DM6" s="296"/>
      <c r="DN6" s="296"/>
      <c r="DO6" s="296"/>
      <c r="DP6" s="296"/>
      <c r="DQ6" s="296"/>
      <c r="DR6" s="296"/>
      <c r="DS6" s="296"/>
      <c r="DT6" s="296"/>
      <c r="DU6" s="296"/>
      <c r="DV6" s="296"/>
      <c r="DW6" s="296"/>
      <c r="DX6" s="296"/>
      <c r="DY6" s="296"/>
      <c r="DZ6" s="296"/>
      <c r="EA6" s="296"/>
      <c r="EB6" s="296"/>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G6" s="296"/>
      <c r="FH6" s="296"/>
      <c r="FI6" s="296"/>
      <c r="FJ6" s="296"/>
      <c r="FK6" s="296"/>
      <c r="FL6" s="296"/>
      <c r="FM6" s="296"/>
      <c r="FN6" s="296"/>
      <c r="FO6" s="296"/>
      <c r="FP6" s="296"/>
      <c r="FQ6" s="296"/>
      <c r="FR6" s="296"/>
      <c r="FS6" s="296"/>
      <c r="FT6" s="296"/>
      <c r="FU6" s="296"/>
      <c r="FV6" s="296"/>
      <c r="FW6" s="296"/>
      <c r="FX6" s="296"/>
      <c r="FY6" s="296"/>
      <c r="FZ6" s="296"/>
      <c r="GA6" s="296"/>
      <c r="GB6" s="296"/>
      <c r="GC6" s="296"/>
      <c r="GD6" s="296"/>
      <c r="GE6" s="296"/>
      <c r="GF6" s="296"/>
      <c r="GG6" s="296"/>
      <c r="GH6" s="296"/>
      <c r="GI6" s="296"/>
      <c r="GJ6" s="296"/>
      <c r="GK6" s="296"/>
      <c r="GL6" s="296"/>
      <c r="GM6" s="296"/>
      <c r="GN6" s="296"/>
      <c r="GO6" s="296"/>
      <c r="GP6" s="296"/>
      <c r="GQ6" s="296"/>
      <c r="GR6" s="296"/>
      <c r="GS6" s="296"/>
      <c r="GT6" s="296"/>
      <c r="GU6" s="296"/>
      <c r="GV6" s="296"/>
      <c r="GW6" s="296"/>
      <c r="GX6" s="296"/>
      <c r="GY6" s="296"/>
      <c r="GZ6" s="296"/>
      <c r="HA6" s="296"/>
      <c r="HB6" s="296"/>
      <c r="HC6" s="296"/>
      <c r="HD6" s="296"/>
      <c r="HE6" s="296"/>
      <c r="HF6" s="296"/>
      <c r="HG6" s="296"/>
      <c r="HH6" s="296"/>
      <c r="HI6" s="296"/>
      <c r="HJ6" s="296"/>
      <c r="HK6" s="296"/>
      <c r="HL6" s="296"/>
      <c r="HM6" s="296"/>
      <c r="HN6" s="296"/>
      <c r="HO6" s="296"/>
      <c r="HP6" s="296"/>
      <c r="HQ6" s="296"/>
      <c r="HR6" s="296"/>
      <c r="HS6" s="296"/>
      <c r="HT6" s="296"/>
      <c r="HU6" s="296"/>
      <c r="HV6" s="296"/>
      <c r="HW6" s="296"/>
      <c r="HX6" s="296"/>
      <c r="HY6" s="296"/>
      <c r="HZ6" s="296"/>
      <c r="IA6" s="296"/>
      <c r="IB6" s="296"/>
      <c r="IC6" s="296"/>
      <c r="ID6" s="296"/>
      <c r="IE6" s="296"/>
      <c r="IF6" s="296"/>
      <c r="IG6" s="296"/>
      <c r="IH6" s="296"/>
      <c r="II6" s="296"/>
      <c r="IJ6" s="296"/>
      <c r="IK6" s="296"/>
      <c r="IL6" s="296"/>
      <c r="IM6" s="296"/>
      <c r="IN6" s="296"/>
      <c r="IO6" s="296"/>
      <c r="IP6" s="296"/>
      <c r="IQ6" s="296"/>
      <c r="IR6" s="296"/>
      <c r="IS6" s="296"/>
      <c r="IT6" s="296"/>
      <c r="IU6" s="296"/>
      <c r="IV6" s="296"/>
    </row>
    <row r="7" spans="1:256" customFormat="1" ht="24" customHeight="1">
      <c r="A7" s="301" t="s">
        <v>92</v>
      </c>
      <c r="B7" s="290">
        <v>23634</v>
      </c>
      <c r="C7" s="290"/>
      <c r="D7" s="290">
        <v>28347</v>
      </c>
      <c r="E7" s="302"/>
      <c r="F7" s="303">
        <f t="shared" si="0"/>
        <v>19.899999999999999</v>
      </c>
      <c r="G7" s="30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6"/>
      <c r="CB7" s="296"/>
      <c r="CC7" s="296"/>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c r="DE7" s="296"/>
      <c r="DF7" s="296"/>
      <c r="DG7" s="296"/>
      <c r="DH7" s="296"/>
      <c r="DI7" s="296"/>
      <c r="DJ7" s="296"/>
      <c r="DK7" s="296"/>
      <c r="DL7" s="296"/>
      <c r="DM7" s="296"/>
      <c r="DN7" s="296"/>
      <c r="DO7" s="296"/>
      <c r="DP7" s="296"/>
      <c r="DQ7" s="296"/>
      <c r="DR7" s="296"/>
      <c r="DS7" s="296"/>
      <c r="DT7" s="296"/>
      <c r="DU7" s="296"/>
      <c r="DV7" s="296"/>
      <c r="DW7" s="296"/>
      <c r="DX7" s="296"/>
      <c r="DY7" s="296"/>
      <c r="DZ7" s="296"/>
      <c r="EA7" s="296"/>
      <c r="EB7" s="296"/>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G7" s="296"/>
      <c r="FH7" s="296"/>
      <c r="FI7" s="296"/>
      <c r="FJ7" s="296"/>
      <c r="FK7" s="296"/>
      <c r="FL7" s="296"/>
      <c r="FM7" s="296"/>
      <c r="FN7" s="296"/>
      <c r="FO7" s="296"/>
      <c r="FP7" s="296"/>
      <c r="FQ7" s="296"/>
      <c r="FR7" s="296"/>
      <c r="FS7" s="296"/>
      <c r="FT7" s="296"/>
      <c r="FU7" s="296"/>
      <c r="FV7" s="296"/>
      <c r="FW7" s="296"/>
      <c r="FX7" s="296"/>
      <c r="FY7" s="296"/>
      <c r="FZ7" s="296"/>
      <c r="GA7" s="296"/>
      <c r="GB7" s="296"/>
      <c r="GC7" s="296"/>
      <c r="GD7" s="296"/>
      <c r="GE7" s="296"/>
      <c r="GF7" s="296"/>
      <c r="GG7" s="296"/>
      <c r="GH7" s="296"/>
      <c r="GI7" s="296"/>
      <c r="GJ7" s="296"/>
      <c r="GK7" s="296"/>
      <c r="GL7" s="296"/>
      <c r="GM7" s="296"/>
      <c r="GN7" s="296"/>
      <c r="GO7" s="296"/>
      <c r="GP7" s="296"/>
      <c r="GQ7" s="296"/>
      <c r="GR7" s="296"/>
      <c r="GS7" s="296"/>
      <c r="GT7" s="296"/>
      <c r="GU7" s="296"/>
      <c r="GV7" s="296"/>
      <c r="GW7" s="296"/>
      <c r="GX7" s="296"/>
      <c r="GY7" s="296"/>
      <c r="GZ7" s="296"/>
      <c r="HA7" s="296"/>
      <c r="HB7" s="296"/>
      <c r="HC7" s="296"/>
      <c r="HD7" s="296"/>
      <c r="HE7" s="296"/>
      <c r="HF7" s="296"/>
      <c r="HG7" s="296"/>
      <c r="HH7" s="296"/>
      <c r="HI7" s="296"/>
      <c r="HJ7" s="296"/>
      <c r="HK7" s="296"/>
      <c r="HL7" s="296"/>
      <c r="HM7" s="296"/>
      <c r="HN7" s="296"/>
      <c r="HO7" s="296"/>
      <c r="HP7" s="296"/>
      <c r="HQ7" s="296"/>
      <c r="HR7" s="296"/>
      <c r="HS7" s="296"/>
      <c r="HT7" s="296"/>
      <c r="HU7" s="296"/>
      <c r="HV7" s="296"/>
      <c r="HW7" s="296"/>
      <c r="HX7" s="296"/>
      <c r="HY7" s="296"/>
      <c r="HZ7" s="296"/>
      <c r="IA7" s="296"/>
      <c r="IB7" s="296"/>
      <c r="IC7" s="296"/>
      <c r="ID7" s="296"/>
      <c r="IE7" s="296"/>
      <c r="IF7" s="296"/>
      <c r="IG7" s="296"/>
      <c r="IH7" s="296"/>
      <c r="II7" s="296"/>
      <c r="IJ7" s="296"/>
      <c r="IK7" s="296"/>
      <c r="IL7" s="296"/>
      <c r="IM7" s="296"/>
      <c r="IN7" s="296"/>
      <c r="IO7" s="296"/>
      <c r="IP7" s="296"/>
      <c r="IQ7" s="296"/>
      <c r="IR7" s="296"/>
      <c r="IS7" s="296"/>
      <c r="IT7" s="296"/>
      <c r="IU7" s="296"/>
      <c r="IV7" s="296"/>
    </row>
    <row r="8" spans="1:256" customFormat="1" ht="24" customHeight="1">
      <c r="A8" s="301" t="s">
        <v>93</v>
      </c>
      <c r="B8" s="290">
        <v>1153</v>
      </c>
      <c r="C8" s="290"/>
      <c r="D8" s="290">
        <v>4555</v>
      </c>
      <c r="E8" s="302"/>
      <c r="F8" s="303">
        <f t="shared" si="0"/>
        <v>295.10000000000002</v>
      </c>
      <c r="G8" s="305"/>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c r="HQ8" s="296"/>
      <c r="HR8" s="296"/>
      <c r="HS8" s="296"/>
      <c r="HT8" s="296"/>
      <c r="HU8" s="296"/>
      <c r="HV8" s="296"/>
      <c r="HW8" s="296"/>
      <c r="HX8" s="296"/>
      <c r="HY8" s="296"/>
      <c r="HZ8" s="296"/>
      <c r="IA8" s="296"/>
      <c r="IB8" s="296"/>
      <c r="IC8" s="296"/>
      <c r="ID8" s="296"/>
      <c r="IE8" s="296"/>
      <c r="IF8" s="296"/>
      <c r="IG8" s="296"/>
      <c r="IH8" s="296"/>
      <c r="II8" s="296"/>
      <c r="IJ8" s="296"/>
      <c r="IK8" s="296"/>
      <c r="IL8" s="296"/>
      <c r="IM8" s="296"/>
      <c r="IN8" s="296"/>
      <c r="IO8" s="296"/>
      <c r="IP8" s="296"/>
      <c r="IQ8" s="296"/>
      <c r="IR8" s="296"/>
      <c r="IS8" s="296"/>
      <c r="IT8" s="296"/>
      <c r="IU8" s="296"/>
      <c r="IV8" s="296"/>
    </row>
    <row r="9" spans="1:256" customFormat="1" ht="24" customHeight="1">
      <c r="A9" s="301" t="s">
        <v>94</v>
      </c>
      <c r="B9" s="290">
        <v>32265</v>
      </c>
      <c r="C9" s="290"/>
      <c r="D9" s="290">
        <v>30604</v>
      </c>
      <c r="E9" s="302"/>
      <c r="F9" s="303">
        <f t="shared" si="0"/>
        <v>-5.0999999999999996</v>
      </c>
      <c r="G9" s="305"/>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c r="DE9" s="296"/>
      <c r="DF9" s="296"/>
      <c r="DG9" s="296"/>
      <c r="DH9" s="296"/>
      <c r="DI9" s="296"/>
      <c r="DJ9" s="296"/>
      <c r="DK9" s="296"/>
      <c r="DL9" s="296"/>
      <c r="DM9" s="296"/>
      <c r="DN9" s="296"/>
      <c r="DO9" s="296"/>
      <c r="DP9" s="296"/>
      <c r="DQ9" s="296"/>
      <c r="DR9" s="296"/>
      <c r="DS9" s="296"/>
      <c r="DT9" s="296"/>
      <c r="DU9" s="296"/>
      <c r="DV9" s="296"/>
      <c r="DW9" s="296"/>
      <c r="DX9" s="296"/>
      <c r="DY9" s="296"/>
      <c r="DZ9" s="296"/>
      <c r="EA9" s="296"/>
      <c r="EB9" s="296"/>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G9" s="296"/>
      <c r="FH9" s="296"/>
      <c r="FI9" s="296"/>
      <c r="FJ9" s="296"/>
      <c r="FK9" s="296"/>
      <c r="FL9" s="296"/>
      <c r="FM9" s="296"/>
      <c r="FN9" s="296"/>
      <c r="FO9" s="296"/>
      <c r="FP9" s="296"/>
      <c r="FQ9" s="296"/>
      <c r="FR9" s="296"/>
      <c r="FS9" s="296"/>
      <c r="FT9" s="296"/>
      <c r="FU9" s="296"/>
      <c r="FV9" s="296"/>
      <c r="FW9" s="296"/>
      <c r="FX9" s="296"/>
      <c r="FY9" s="296"/>
      <c r="FZ9" s="296"/>
      <c r="GA9" s="296"/>
      <c r="GB9" s="296"/>
      <c r="GC9" s="296"/>
      <c r="GD9" s="296"/>
      <c r="GE9" s="296"/>
      <c r="GF9" s="296"/>
      <c r="GG9" s="296"/>
      <c r="GH9" s="296"/>
      <c r="GI9" s="296"/>
      <c r="GJ9" s="296"/>
      <c r="GK9" s="296"/>
      <c r="GL9" s="296"/>
      <c r="GM9" s="296"/>
      <c r="GN9" s="296"/>
      <c r="GO9" s="296"/>
      <c r="GP9" s="296"/>
      <c r="GQ9" s="296"/>
      <c r="GR9" s="296"/>
      <c r="GS9" s="296"/>
      <c r="GT9" s="296"/>
      <c r="GU9" s="296"/>
      <c r="GV9" s="296"/>
      <c r="GW9" s="296"/>
      <c r="GX9" s="296"/>
      <c r="GY9" s="296"/>
      <c r="GZ9" s="296"/>
      <c r="HA9" s="296"/>
      <c r="HB9" s="296"/>
      <c r="HC9" s="296"/>
      <c r="HD9" s="296"/>
      <c r="HE9" s="296"/>
      <c r="HF9" s="296"/>
      <c r="HG9" s="296"/>
      <c r="HH9" s="296"/>
      <c r="HI9" s="296"/>
      <c r="HJ9" s="296"/>
      <c r="HK9" s="296"/>
      <c r="HL9" s="296"/>
      <c r="HM9" s="296"/>
      <c r="HN9" s="296"/>
      <c r="HO9" s="296"/>
      <c r="HP9" s="296"/>
      <c r="HQ9" s="296"/>
      <c r="HR9" s="296"/>
      <c r="HS9" s="296"/>
      <c r="HT9" s="296"/>
      <c r="HU9" s="296"/>
      <c r="HV9" s="296"/>
      <c r="HW9" s="296"/>
      <c r="HX9" s="296"/>
      <c r="HY9" s="296"/>
      <c r="HZ9" s="296"/>
      <c r="IA9" s="296"/>
      <c r="IB9" s="296"/>
      <c r="IC9" s="296"/>
      <c r="ID9" s="296"/>
      <c r="IE9" s="296"/>
      <c r="IF9" s="296"/>
      <c r="IG9" s="296"/>
      <c r="IH9" s="296"/>
      <c r="II9" s="296"/>
      <c r="IJ9" s="296"/>
      <c r="IK9" s="296"/>
      <c r="IL9" s="296"/>
      <c r="IM9" s="296"/>
      <c r="IN9" s="296"/>
      <c r="IO9" s="296"/>
      <c r="IP9" s="296"/>
      <c r="IQ9" s="296"/>
      <c r="IR9" s="296"/>
      <c r="IS9" s="296"/>
      <c r="IT9" s="296"/>
      <c r="IU9" s="296"/>
      <c r="IV9" s="296"/>
    </row>
    <row r="10" spans="1:256" customFormat="1" ht="24" customHeight="1">
      <c r="A10" s="301" t="s">
        <v>95</v>
      </c>
      <c r="B10" s="290">
        <v>34424</v>
      </c>
      <c r="C10" s="290"/>
      <c r="D10" s="290">
        <v>47697</v>
      </c>
      <c r="E10" s="302"/>
      <c r="F10" s="303">
        <f t="shared" si="0"/>
        <v>38.6</v>
      </c>
      <c r="G10" s="305"/>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c r="EB10" s="296"/>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G10" s="296"/>
      <c r="FH10" s="296"/>
      <c r="FI10" s="296"/>
      <c r="FJ10" s="296"/>
      <c r="FK10" s="296"/>
      <c r="FL10" s="296"/>
      <c r="FM10" s="296"/>
      <c r="FN10" s="296"/>
      <c r="FO10" s="296"/>
      <c r="FP10" s="296"/>
      <c r="FQ10" s="296"/>
      <c r="FR10" s="296"/>
      <c r="FS10" s="296"/>
      <c r="FT10" s="296"/>
      <c r="FU10" s="296"/>
      <c r="FV10" s="296"/>
      <c r="FW10" s="296"/>
      <c r="FX10" s="296"/>
      <c r="FY10" s="296"/>
      <c r="FZ10" s="296"/>
      <c r="GA10" s="296"/>
      <c r="GB10" s="296"/>
      <c r="GC10" s="296"/>
      <c r="GD10" s="296"/>
      <c r="GE10" s="296"/>
      <c r="GF10" s="296"/>
      <c r="GG10" s="296"/>
      <c r="GH10" s="296"/>
      <c r="GI10" s="296"/>
      <c r="GJ10" s="296"/>
      <c r="GK10" s="296"/>
      <c r="GL10" s="296"/>
      <c r="GM10" s="296"/>
      <c r="GN10" s="296"/>
      <c r="GO10" s="296"/>
      <c r="GP10" s="296"/>
      <c r="GQ10" s="296"/>
      <c r="GR10" s="296"/>
      <c r="GS10" s="296"/>
      <c r="GT10" s="296"/>
      <c r="GU10" s="296"/>
      <c r="GV10" s="296"/>
      <c r="GW10" s="296"/>
      <c r="GX10" s="296"/>
      <c r="GY10" s="296"/>
      <c r="GZ10" s="296"/>
      <c r="HA10" s="296"/>
      <c r="HB10" s="296"/>
      <c r="HC10" s="296"/>
      <c r="HD10" s="296"/>
      <c r="HE10" s="296"/>
      <c r="HF10" s="296"/>
      <c r="HG10" s="296"/>
      <c r="HH10" s="296"/>
      <c r="HI10" s="296"/>
      <c r="HJ10" s="296"/>
      <c r="HK10" s="296"/>
      <c r="HL10" s="296"/>
      <c r="HM10" s="296"/>
      <c r="HN10" s="296"/>
      <c r="HO10" s="296"/>
      <c r="HP10" s="296"/>
      <c r="HQ10" s="296"/>
      <c r="HR10" s="296"/>
      <c r="HS10" s="296"/>
      <c r="HT10" s="296"/>
      <c r="HU10" s="296"/>
      <c r="HV10" s="296"/>
      <c r="HW10" s="296"/>
      <c r="HX10" s="296"/>
      <c r="HY10" s="296"/>
      <c r="HZ10" s="296"/>
      <c r="IA10" s="296"/>
      <c r="IB10" s="296"/>
      <c r="IC10" s="296"/>
      <c r="ID10" s="296"/>
      <c r="IE10" s="296"/>
      <c r="IF10" s="296"/>
      <c r="IG10" s="296"/>
      <c r="IH10" s="296"/>
      <c r="II10" s="296"/>
      <c r="IJ10" s="296"/>
      <c r="IK10" s="296"/>
      <c r="IL10" s="296"/>
      <c r="IM10" s="296"/>
      <c r="IN10" s="296"/>
      <c r="IO10" s="296"/>
      <c r="IP10" s="296"/>
      <c r="IQ10" s="296"/>
      <c r="IR10" s="296"/>
      <c r="IS10" s="296"/>
      <c r="IT10" s="296"/>
      <c r="IU10" s="296"/>
      <c r="IV10" s="296"/>
    </row>
    <row r="11" spans="1:256" customFormat="1" ht="24" customHeight="1">
      <c r="A11" s="301" t="s">
        <v>96</v>
      </c>
      <c r="B11" s="290">
        <v>26111</v>
      </c>
      <c r="C11" s="290"/>
      <c r="D11" s="290">
        <v>61874</v>
      </c>
      <c r="E11" s="302"/>
      <c r="F11" s="303">
        <f t="shared" si="0"/>
        <v>137</v>
      </c>
      <c r="G11" s="305"/>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6"/>
      <c r="GS11" s="296"/>
      <c r="GT11" s="296"/>
      <c r="GU11" s="296"/>
      <c r="GV11" s="296"/>
      <c r="GW11" s="296"/>
      <c r="GX11" s="296"/>
      <c r="GY11" s="296"/>
      <c r="GZ11" s="296"/>
      <c r="HA11" s="296"/>
      <c r="HB11" s="296"/>
      <c r="HC11" s="296"/>
      <c r="HD11" s="296"/>
      <c r="HE11" s="296"/>
      <c r="HF11" s="296"/>
      <c r="HG11" s="296"/>
      <c r="HH11" s="296"/>
      <c r="HI11" s="296"/>
      <c r="HJ11" s="296"/>
      <c r="HK11" s="296"/>
      <c r="HL11" s="296"/>
      <c r="HM11" s="296"/>
      <c r="HN11" s="296"/>
      <c r="HO11" s="296"/>
      <c r="HP11" s="296"/>
      <c r="HQ11" s="296"/>
      <c r="HR11" s="296"/>
      <c r="HS11" s="296"/>
      <c r="HT11" s="296"/>
      <c r="HU11" s="296"/>
      <c r="HV11" s="296"/>
      <c r="HW11" s="296"/>
      <c r="HX11" s="296"/>
      <c r="HY11" s="296"/>
      <c r="HZ11" s="296"/>
      <c r="IA11" s="296"/>
      <c r="IB11" s="296"/>
      <c r="IC11" s="296"/>
      <c r="ID11" s="296"/>
      <c r="IE11" s="296"/>
      <c r="IF11" s="296"/>
      <c r="IG11" s="296"/>
      <c r="IH11" s="296"/>
      <c r="II11" s="296"/>
      <c r="IJ11" s="296"/>
      <c r="IK11" s="296"/>
      <c r="IL11" s="296"/>
      <c r="IM11" s="296"/>
      <c r="IN11" s="296"/>
      <c r="IO11" s="296"/>
      <c r="IP11" s="296"/>
      <c r="IQ11" s="296"/>
      <c r="IR11" s="296"/>
      <c r="IS11" s="296"/>
      <c r="IT11" s="296"/>
      <c r="IU11" s="296"/>
      <c r="IV11" s="296"/>
    </row>
    <row r="12" spans="1:256" customFormat="1" ht="24" customHeight="1">
      <c r="A12" s="301" t="s">
        <v>97</v>
      </c>
      <c r="B12" s="290">
        <v>9630</v>
      </c>
      <c r="C12" s="290"/>
      <c r="D12" s="290">
        <v>25642</v>
      </c>
      <c r="E12" s="302"/>
      <c r="F12" s="303">
        <f t="shared" si="0"/>
        <v>166.3</v>
      </c>
      <c r="G12" s="305"/>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96"/>
      <c r="CB12" s="296"/>
      <c r="CC12" s="296"/>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296"/>
      <c r="DV12" s="296"/>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G12" s="296"/>
      <c r="FH12" s="296"/>
      <c r="FI12" s="296"/>
      <c r="FJ12" s="296"/>
      <c r="FK12" s="296"/>
      <c r="FL12" s="296"/>
      <c r="FM12" s="296"/>
      <c r="FN12" s="296"/>
      <c r="FO12" s="296"/>
      <c r="FP12" s="296"/>
      <c r="FQ12" s="296"/>
      <c r="FR12" s="296"/>
      <c r="FS12" s="296"/>
      <c r="FT12" s="296"/>
      <c r="FU12" s="296"/>
      <c r="FV12" s="296"/>
      <c r="FW12" s="296"/>
      <c r="FX12" s="296"/>
      <c r="FY12" s="296"/>
      <c r="FZ12" s="296"/>
      <c r="GA12" s="296"/>
      <c r="GB12" s="296"/>
      <c r="GC12" s="296"/>
      <c r="GD12" s="296"/>
      <c r="GE12" s="296"/>
      <c r="GF12" s="296"/>
      <c r="GG12" s="296"/>
      <c r="GH12" s="296"/>
      <c r="GI12" s="296"/>
      <c r="GJ12" s="296"/>
      <c r="GK12" s="296"/>
      <c r="GL12" s="296"/>
      <c r="GM12" s="296"/>
      <c r="GN12" s="296"/>
      <c r="GO12" s="296"/>
      <c r="GP12" s="296"/>
      <c r="GQ12" s="296"/>
      <c r="GR12" s="296"/>
      <c r="GS12" s="296"/>
      <c r="GT12" s="296"/>
      <c r="GU12" s="296"/>
      <c r="GV12" s="296"/>
      <c r="GW12" s="296"/>
      <c r="GX12" s="296"/>
      <c r="GY12" s="296"/>
      <c r="GZ12" s="296"/>
      <c r="HA12" s="296"/>
      <c r="HB12" s="296"/>
      <c r="HC12" s="296"/>
      <c r="HD12" s="296"/>
      <c r="HE12" s="296"/>
      <c r="HF12" s="296"/>
      <c r="HG12" s="296"/>
      <c r="HH12" s="296"/>
      <c r="HI12" s="296"/>
      <c r="HJ12" s="296"/>
      <c r="HK12" s="296"/>
      <c r="HL12" s="296"/>
      <c r="HM12" s="296"/>
      <c r="HN12" s="296"/>
      <c r="HO12" s="296"/>
      <c r="HP12" s="296"/>
      <c r="HQ12" s="296"/>
      <c r="HR12" s="296"/>
      <c r="HS12" s="296"/>
      <c r="HT12" s="296"/>
      <c r="HU12" s="296"/>
      <c r="HV12" s="296"/>
      <c r="HW12" s="296"/>
      <c r="HX12" s="296"/>
      <c r="HY12" s="296"/>
      <c r="HZ12" s="296"/>
      <c r="IA12" s="296"/>
      <c r="IB12" s="296"/>
      <c r="IC12" s="296"/>
      <c r="ID12" s="296"/>
      <c r="IE12" s="296"/>
      <c r="IF12" s="296"/>
      <c r="IG12" s="296"/>
      <c r="IH12" s="296"/>
      <c r="II12" s="296"/>
      <c r="IJ12" s="296"/>
      <c r="IK12" s="296"/>
      <c r="IL12" s="296"/>
      <c r="IM12" s="296"/>
      <c r="IN12" s="296"/>
      <c r="IO12" s="296"/>
      <c r="IP12" s="296"/>
      <c r="IQ12" s="296"/>
      <c r="IR12" s="296"/>
      <c r="IS12" s="296"/>
      <c r="IT12" s="296"/>
      <c r="IU12" s="296"/>
      <c r="IV12" s="296"/>
    </row>
    <row r="13" spans="1:256" customFormat="1" ht="24" customHeight="1">
      <c r="A13" s="301" t="s">
        <v>98</v>
      </c>
      <c r="B13" s="290">
        <v>23724</v>
      </c>
      <c r="C13" s="290"/>
      <c r="D13" s="290">
        <v>35281</v>
      </c>
      <c r="E13" s="302"/>
      <c r="F13" s="303">
        <f t="shared" si="0"/>
        <v>48.7</v>
      </c>
      <c r="G13" s="30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296"/>
      <c r="DS13" s="296"/>
      <c r="DT13" s="296"/>
      <c r="DU13" s="296"/>
      <c r="DV13" s="296"/>
      <c r="DW13" s="296"/>
      <c r="DX13" s="296"/>
      <c r="DY13" s="296"/>
      <c r="DZ13" s="296"/>
      <c r="EA13" s="296"/>
      <c r="EB13" s="296"/>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G13" s="296"/>
      <c r="FH13" s="296"/>
      <c r="FI13" s="296"/>
      <c r="FJ13" s="296"/>
      <c r="FK13" s="296"/>
      <c r="FL13" s="296"/>
      <c r="FM13" s="296"/>
      <c r="FN13" s="296"/>
      <c r="FO13" s="296"/>
      <c r="FP13" s="296"/>
      <c r="FQ13" s="296"/>
      <c r="FR13" s="296"/>
      <c r="FS13" s="296"/>
      <c r="FT13" s="296"/>
      <c r="FU13" s="296"/>
      <c r="FV13" s="296"/>
      <c r="FW13" s="296"/>
      <c r="FX13" s="296"/>
      <c r="FY13" s="296"/>
      <c r="FZ13" s="296"/>
      <c r="GA13" s="296"/>
      <c r="GB13" s="296"/>
      <c r="GC13" s="296"/>
      <c r="GD13" s="296"/>
      <c r="GE13" s="296"/>
      <c r="GF13" s="296"/>
      <c r="GG13" s="296"/>
      <c r="GH13" s="296"/>
      <c r="GI13" s="296"/>
      <c r="GJ13" s="296"/>
      <c r="GK13" s="296"/>
      <c r="GL13" s="296"/>
      <c r="GM13" s="296"/>
      <c r="GN13" s="296"/>
      <c r="GO13" s="296"/>
      <c r="GP13" s="296"/>
      <c r="GQ13" s="296"/>
      <c r="GR13" s="296"/>
      <c r="GS13" s="296"/>
      <c r="GT13" s="296"/>
      <c r="GU13" s="296"/>
      <c r="GV13" s="296"/>
      <c r="GW13" s="296"/>
      <c r="GX13" s="296"/>
      <c r="GY13" s="296"/>
      <c r="GZ13" s="296"/>
      <c r="HA13" s="296"/>
      <c r="HB13" s="296"/>
      <c r="HC13" s="296"/>
      <c r="HD13" s="296"/>
      <c r="HE13" s="296"/>
      <c r="HF13" s="296"/>
      <c r="HG13" s="296"/>
      <c r="HH13" s="296"/>
      <c r="HI13" s="296"/>
      <c r="HJ13" s="296"/>
      <c r="HK13" s="296"/>
      <c r="HL13" s="296"/>
      <c r="HM13" s="296"/>
      <c r="HN13" s="296"/>
      <c r="HO13" s="296"/>
      <c r="HP13" s="296"/>
      <c r="HQ13" s="296"/>
      <c r="HR13" s="296"/>
      <c r="HS13" s="296"/>
      <c r="HT13" s="296"/>
      <c r="HU13" s="296"/>
      <c r="HV13" s="296"/>
      <c r="HW13" s="296"/>
      <c r="HX13" s="296"/>
      <c r="HY13" s="296"/>
      <c r="HZ13" s="296"/>
      <c r="IA13" s="296"/>
      <c r="IB13" s="296"/>
      <c r="IC13" s="296"/>
      <c r="ID13" s="296"/>
      <c r="IE13" s="296"/>
      <c r="IF13" s="296"/>
      <c r="IG13" s="296"/>
      <c r="IH13" s="296"/>
      <c r="II13" s="296"/>
      <c r="IJ13" s="296"/>
      <c r="IK13" s="296"/>
      <c r="IL13" s="296"/>
      <c r="IM13" s="296"/>
      <c r="IN13" s="296"/>
      <c r="IO13" s="296"/>
      <c r="IP13" s="296"/>
      <c r="IQ13" s="296"/>
      <c r="IR13" s="296"/>
      <c r="IS13" s="296"/>
      <c r="IT13" s="296"/>
      <c r="IU13" s="296"/>
      <c r="IV13" s="296"/>
    </row>
    <row r="14" spans="1:256" customFormat="1" ht="24" customHeight="1">
      <c r="A14" s="301" t="s">
        <v>99</v>
      </c>
      <c r="B14" s="290">
        <v>17514</v>
      </c>
      <c r="C14" s="290"/>
      <c r="D14" s="290">
        <v>12050</v>
      </c>
      <c r="E14" s="302"/>
      <c r="F14" s="303">
        <f t="shared" si="0"/>
        <v>-31.2</v>
      </c>
      <c r="G14" s="280"/>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296"/>
      <c r="DS14" s="296"/>
      <c r="DT14" s="296"/>
      <c r="DU14" s="296"/>
      <c r="DV14" s="296"/>
      <c r="DW14" s="296"/>
      <c r="DX14" s="296"/>
      <c r="DY14" s="296"/>
      <c r="DZ14" s="296"/>
      <c r="EA14" s="296"/>
      <c r="EB14" s="296"/>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G14" s="296"/>
      <c r="FH14" s="296"/>
      <c r="FI14" s="296"/>
      <c r="FJ14" s="296"/>
      <c r="FK14" s="296"/>
      <c r="FL14" s="296"/>
      <c r="FM14" s="296"/>
      <c r="FN14" s="296"/>
      <c r="FO14" s="296"/>
      <c r="FP14" s="296"/>
      <c r="FQ14" s="296"/>
      <c r="FR14" s="296"/>
      <c r="FS14" s="296"/>
      <c r="FT14" s="296"/>
      <c r="FU14" s="296"/>
      <c r="FV14" s="296"/>
      <c r="FW14" s="296"/>
      <c r="FX14" s="296"/>
      <c r="FY14" s="296"/>
      <c r="FZ14" s="296"/>
      <c r="GA14" s="296"/>
      <c r="GB14" s="296"/>
      <c r="GC14" s="296"/>
      <c r="GD14" s="296"/>
      <c r="GE14" s="296"/>
      <c r="GF14" s="296"/>
      <c r="GG14" s="296"/>
      <c r="GH14" s="296"/>
      <c r="GI14" s="296"/>
      <c r="GJ14" s="296"/>
      <c r="GK14" s="296"/>
      <c r="GL14" s="296"/>
      <c r="GM14" s="296"/>
      <c r="GN14" s="296"/>
      <c r="GO14" s="296"/>
      <c r="GP14" s="296"/>
      <c r="GQ14" s="296"/>
      <c r="GR14" s="296"/>
      <c r="GS14" s="296"/>
      <c r="GT14" s="296"/>
      <c r="GU14" s="296"/>
      <c r="GV14" s="296"/>
      <c r="GW14" s="296"/>
      <c r="GX14" s="296"/>
      <c r="GY14" s="296"/>
      <c r="GZ14" s="296"/>
      <c r="HA14" s="296"/>
      <c r="HB14" s="296"/>
      <c r="HC14" s="296"/>
      <c r="HD14" s="296"/>
      <c r="HE14" s="296"/>
      <c r="HF14" s="296"/>
      <c r="HG14" s="296"/>
      <c r="HH14" s="296"/>
      <c r="HI14" s="296"/>
      <c r="HJ14" s="296"/>
      <c r="HK14" s="296"/>
      <c r="HL14" s="296"/>
      <c r="HM14" s="296"/>
      <c r="HN14" s="296"/>
      <c r="HO14" s="296"/>
      <c r="HP14" s="296"/>
      <c r="HQ14" s="296"/>
      <c r="HR14" s="296"/>
      <c r="HS14" s="296"/>
      <c r="HT14" s="296"/>
      <c r="HU14" s="296"/>
      <c r="HV14" s="296"/>
      <c r="HW14" s="296"/>
      <c r="HX14" s="296"/>
      <c r="HY14" s="296"/>
      <c r="HZ14" s="296"/>
      <c r="IA14" s="296"/>
      <c r="IB14" s="296"/>
      <c r="IC14" s="296"/>
      <c r="ID14" s="296"/>
      <c r="IE14" s="296"/>
      <c r="IF14" s="296"/>
      <c r="IG14" s="296"/>
      <c r="IH14" s="296"/>
      <c r="II14" s="296"/>
      <c r="IJ14" s="296"/>
      <c r="IK14" s="296"/>
      <c r="IL14" s="296"/>
      <c r="IM14" s="296"/>
      <c r="IN14" s="296"/>
      <c r="IO14" s="296"/>
      <c r="IP14" s="296"/>
      <c r="IQ14" s="296"/>
      <c r="IR14" s="296"/>
      <c r="IS14" s="296"/>
      <c r="IT14" s="296"/>
      <c r="IU14" s="296"/>
      <c r="IV14" s="296"/>
    </row>
    <row r="15" spans="1:256" customFormat="1" ht="24" customHeight="1">
      <c r="A15" s="301" t="s">
        <v>100</v>
      </c>
      <c r="B15" s="290">
        <v>17081</v>
      </c>
      <c r="C15" s="290"/>
      <c r="D15" s="290">
        <v>24504</v>
      </c>
      <c r="E15" s="302"/>
      <c r="F15" s="303">
        <f t="shared" si="0"/>
        <v>43.5</v>
      </c>
      <c r="G15" s="30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6"/>
      <c r="GS15" s="296"/>
      <c r="GT15" s="296"/>
      <c r="GU15" s="296"/>
      <c r="GV15" s="296"/>
      <c r="GW15" s="296"/>
      <c r="GX15" s="296"/>
      <c r="GY15" s="296"/>
      <c r="GZ15" s="296"/>
      <c r="HA15" s="296"/>
      <c r="HB15" s="296"/>
      <c r="HC15" s="296"/>
      <c r="HD15" s="296"/>
      <c r="HE15" s="296"/>
      <c r="HF15" s="296"/>
      <c r="HG15" s="296"/>
      <c r="HH15" s="296"/>
      <c r="HI15" s="296"/>
      <c r="HJ15" s="296"/>
      <c r="HK15" s="296"/>
      <c r="HL15" s="296"/>
      <c r="HM15" s="296"/>
      <c r="HN15" s="296"/>
      <c r="HO15" s="296"/>
      <c r="HP15" s="296"/>
      <c r="HQ15" s="296"/>
      <c r="HR15" s="296"/>
      <c r="HS15" s="296"/>
      <c r="HT15" s="296"/>
      <c r="HU15" s="296"/>
      <c r="HV15" s="296"/>
      <c r="HW15" s="296"/>
      <c r="HX15" s="296"/>
      <c r="HY15" s="296"/>
      <c r="HZ15" s="296"/>
      <c r="IA15" s="296"/>
      <c r="IB15" s="296"/>
      <c r="IC15" s="296"/>
      <c r="ID15" s="296"/>
      <c r="IE15" s="296"/>
      <c r="IF15" s="296"/>
      <c r="IG15" s="296"/>
      <c r="IH15" s="296"/>
      <c r="II15" s="296"/>
      <c r="IJ15" s="296"/>
      <c r="IK15" s="296"/>
      <c r="IL15" s="296"/>
      <c r="IM15" s="296"/>
      <c r="IN15" s="296"/>
      <c r="IO15" s="296"/>
      <c r="IP15" s="296"/>
      <c r="IQ15" s="296"/>
      <c r="IR15" s="296"/>
      <c r="IS15" s="296"/>
      <c r="IT15" s="296"/>
      <c r="IU15" s="296"/>
      <c r="IV15" s="296"/>
    </row>
    <row r="16" spans="1:256" customFormat="1" ht="24" customHeight="1">
      <c r="A16" s="301" t="s">
        <v>101</v>
      </c>
      <c r="B16" s="290">
        <v>6645</v>
      </c>
      <c r="C16" s="290"/>
      <c r="D16" s="290">
        <v>4091</v>
      </c>
      <c r="E16" s="302"/>
      <c r="F16" s="303">
        <f t="shared" si="0"/>
        <v>-38.4</v>
      </c>
      <c r="G16" s="305"/>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6"/>
      <c r="GS16" s="296"/>
      <c r="GT16" s="296"/>
      <c r="GU16" s="296"/>
      <c r="GV16" s="296"/>
      <c r="GW16" s="296"/>
      <c r="GX16" s="296"/>
      <c r="GY16" s="296"/>
      <c r="GZ16" s="296"/>
      <c r="HA16" s="296"/>
      <c r="HB16" s="296"/>
      <c r="HC16" s="296"/>
      <c r="HD16" s="296"/>
      <c r="HE16" s="296"/>
      <c r="HF16" s="296"/>
      <c r="HG16" s="296"/>
      <c r="HH16" s="296"/>
      <c r="HI16" s="296"/>
      <c r="HJ16" s="296"/>
      <c r="HK16" s="296"/>
      <c r="HL16" s="296"/>
      <c r="HM16" s="296"/>
      <c r="HN16" s="296"/>
      <c r="HO16" s="296"/>
      <c r="HP16" s="296"/>
      <c r="HQ16" s="296"/>
      <c r="HR16" s="296"/>
      <c r="HS16" s="296"/>
      <c r="HT16" s="296"/>
      <c r="HU16" s="296"/>
      <c r="HV16" s="296"/>
      <c r="HW16" s="296"/>
      <c r="HX16" s="296"/>
      <c r="HY16" s="296"/>
      <c r="HZ16" s="296"/>
      <c r="IA16" s="296"/>
      <c r="IB16" s="296"/>
      <c r="IC16" s="296"/>
      <c r="ID16" s="296"/>
      <c r="IE16" s="296"/>
      <c r="IF16" s="296"/>
      <c r="IG16" s="296"/>
      <c r="IH16" s="296"/>
      <c r="II16" s="296"/>
      <c r="IJ16" s="296"/>
      <c r="IK16" s="296"/>
      <c r="IL16" s="296"/>
      <c r="IM16" s="296"/>
      <c r="IN16" s="296"/>
      <c r="IO16" s="296"/>
      <c r="IP16" s="296"/>
      <c r="IQ16" s="296"/>
      <c r="IR16" s="296"/>
      <c r="IS16" s="296"/>
      <c r="IT16" s="296"/>
      <c r="IU16" s="296"/>
      <c r="IV16" s="296"/>
    </row>
    <row r="17" spans="1:256" customFormat="1" ht="24" customHeight="1">
      <c r="A17" s="301" t="s">
        <v>102</v>
      </c>
      <c r="B17" s="290">
        <v>1056</v>
      </c>
      <c r="C17" s="290"/>
      <c r="D17" s="290">
        <v>1351</v>
      </c>
      <c r="E17" s="302"/>
      <c r="F17" s="303">
        <f t="shared" si="0"/>
        <v>27.9</v>
      </c>
      <c r="G17" s="305"/>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6"/>
      <c r="GS17" s="296"/>
      <c r="GT17" s="296"/>
      <c r="GU17" s="296"/>
      <c r="GV17" s="296"/>
      <c r="GW17" s="296"/>
      <c r="GX17" s="296"/>
      <c r="GY17" s="296"/>
      <c r="GZ17" s="296"/>
      <c r="HA17" s="296"/>
      <c r="HB17" s="296"/>
      <c r="HC17" s="296"/>
      <c r="HD17" s="296"/>
      <c r="HE17" s="296"/>
      <c r="HF17" s="296"/>
      <c r="HG17" s="296"/>
      <c r="HH17" s="296"/>
      <c r="HI17" s="296"/>
      <c r="HJ17" s="296"/>
      <c r="HK17" s="296"/>
      <c r="HL17" s="296"/>
      <c r="HM17" s="296"/>
      <c r="HN17" s="296"/>
      <c r="HO17" s="296"/>
      <c r="HP17" s="296"/>
      <c r="HQ17" s="296"/>
      <c r="HR17" s="296"/>
      <c r="HS17" s="296"/>
      <c r="HT17" s="296"/>
      <c r="HU17" s="296"/>
      <c r="HV17" s="296"/>
      <c r="HW17" s="296"/>
      <c r="HX17" s="296"/>
      <c r="HY17" s="296"/>
      <c r="HZ17" s="296"/>
      <c r="IA17" s="296"/>
      <c r="IB17" s="296"/>
      <c r="IC17" s="296"/>
      <c r="ID17" s="296"/>
      <c r="IE17" s="296"/>
      <c r="IF17" s="296"/>
      <c r="IG17" s="296"/>
      <c r="IH17" s="296"/>
      <c r="II17" s="296"/>
      <c r="IJ17" s="296"/>
      <c r="IK17" s="296"/>
      <c r="IL17" s="296"/>
      <c r="IM17" s="296"/>
      <c r="IN17" s="296"/>
      <c r="IO17" s="296"/>
      <c r="IP17" s="296"/>
      <c r="IQ17" s="296"/>
      <c r="IR17" s="296"/>
      <c r="IS17" s="296"/>
      <c r="IT17" s="296"/>
      <c r="IU17" s="296"/>
      <c r="IV17" s="296"/>
    </row>
    <row r="18" spans="1:256" customFormat="1" ht="24" customHeight="1">
      <c r="A18" s="301" t="s">
        <v>103</v>
      </c>
      <c r="B18" s="290">
        <v>1245</v>
      </c>
      <c r="C18" s="290"/>
      <c r="D18" s="290">
        <v>2493</v>
      </c>
      <c r="E18" s="302"/>
      <c r="F18" s="303">
        <f t="shared" si="0"/>
        <v>100.2</v>
      </c>
      <c r="G18" s="280"/>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6"/>
      <c r="GS18" s="296"/>
      <c r="GT18" s="296"/>
      <c r="GU18" s="296"/>
      <c r="GV18" s="296"/>
      <c r="GW18" s="296"/>
      <c r="GX18" s="296"/>
      <c r="GY18" s="296"/>
      <c r="GZ18" s="296"/>
      <c r="HA18" s="296"/>
      <c r="HB18" s="296"/>
      <c r="HC18" s="296"/>
      <c r="HD18" s="296"/>
      <c r="HE18" s="296"/>
      <c r="HF18" s="296"/>
      <c r="HG18" s="296"/>
      <c r="HH18" s="296"/>
      <c r="HI18" s="296"/>
      <c r="HJ18" s="296"/>
      <c r="HK18" s="296"/>
      <c r="HL18" s="296"/>
      <c r="HM18" s="296"/>
      <c r="HN18" s="296"/>
      <c r="HO18" s="296"/>
      <c r="HP18" s="296"/>
      <c r="HQ18" s="296"/>
      <c r="HR18" s="296"/>
      <c r="HS18" s="296"/>
      <c r="HT18" s="296"/>
      <c r="HU18" s="296"/>
      <c r="HV18" s="296"/>
      <c r="HW18" s="296"/>
      <c r="HX18" s="296"/>
      <c r="HY18" s="296"/>
      <c r="HZ18" s="296"/>
      <c r="IA18" s="296"/>
      <c r="IB18" s="296"/>
      <c r="IC18" s="296"/>
      <c r="ID18" s="296"/>
      <c r="IE18" s="296"/>
      <c r="IF18" s="296"/>
      <c r="IG18" s="296"/>
      <c r="IH18" s="296"/>
      <c r="II18" s="296"/>
      <c r="IJ18" s="296"/>
      <c r="IK18" s="296"/>
      <c r="IL18" s="296"/>
      <c r="IM18" s="296"/>
      <c r="IN18" s="296"/>
      <c r="IO18" s="296"/>
      <c r="IP18" s="296"/>
      <c r="IQ18" s="296"/>
      <c r="IR18" s="296"/>
      <c r="IS18" s="296"/>
      <c r="IT18" s="296"/>
      <c r="IU18" s="296"/>
      <c r="IV18" s="296"/>
    </row>
    <row r="19" spans="1:256" customFormat="1" ht="24" customHeight="1">
      <c r="A19" s="301" t="s">
        <v>104</v>
      </c>
      <c r="B19" s="290"/>
      <c r="C19" s="290"/>
      <c r="D19" s="290"/>
      <c r="E19" s="302"/>
      <c r="F19" s="303"/>
      <c r="G19" s="305"/>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296"/>
      <c r="GQ19" s="296"/>
      <c r="GR19" s="296"/>
      <c r="GS19" s="296"/>
      <c r="GT19" s="296"/>
      <c r="GU19" s="296"/>
      <c r="GV19" s="296"/>
      <c r="GW19" s="296"/>
      <c r="GX19" s="296"/>
      <c r="GY19" s="296"/>
      <c r="GZ19" s="296"/>
      <c r="HA19" s="296"/>
      <c r="HB19" s="296"/>
      <c r="HC19" s="296"/>
      <c r="HD19" s="296"/>
      <c r="HE19" s="296"/>
      <c r="HF19" s="296"/>
      <c r="HG19" s="296"/>
      <c r="HH19" s="296"/>
      <c r="HI19" s="296"/>
      <c r="HJ19" s="296"/>
      <c r="HK19" s="296"/>
      <c r="HL19" s="296"/>
      <c r="HM19" s="296"/>
      <c r="HN19" s="296"/>
      <c r="HO19" s="296"/>
      <c r="HP19" s="296"/>
      <c r="HQ19" s="296"/>
      <c r="HR19" s="296"/>
      <c r="HS19" s="296"/>
      <c r="HT19" s="296"/>
      <c r="HU19" s="296"/>
      <c r="HV19" s="296"/>
      <c r="HW19" s="296"/>
      <c r="HX19" s="296"/>
      <c r="HY19" s="296"/>
      <c r="HZ19" s="296"/>
      <c r="IA19" s="296"/>
      <c r="IB19" s="296"/>
      <c r="IC19" s="296"/>
      <c r="ID19" s="296"/>
      <c r="IE19" s="296"/>
      <c r="IF19" s="296"/>
      <c r="IG19" s="296"/>
      <c r="IH19" s="296"/>
      <c r="II19" s="296"/>
      <c r="IJ19" s="296"/>
      <c r="IK19" s="296"/>
      <c r="IL19" s="296"/>
      <c r="IM19" s="296"/>
      <c r="IN19" s="296"/>
      <c r="IO19" s="296"/>
      <c r="IP19" s="296"/>
      <c r="IQ19" s="296"/>
      <c r="IR19" s="296"/>
      <c r="IS19" s="296"/>
      <c r="IT19" s="296"/>
      <c r="IU19" s="296"/>
      <c r="IV19" s="296"/>
    </row>
    <row r="20" spans="1:256" customFormat="1" ht="24" customHeight="1">
      <c r="A20" s="301" t="s">
        <v>105</v>
      </c>
      <c r="B20" s="290">
        <v>19267</v>
      </c>
      <c r="C20" s="290"/>
      <c r="D20" s="290">
        <v>8944</v>
      </c>
      <c r="E20" s="302"/>
      <c r="F20" s="303">
        <f t="shared" ref="F20:F25" si="1">(D20/B20-1)*100</f>
        <v>-53.6</v>
      </c>
      <c r="G20" s="280"/>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296"/>
      <c r="GQ20" s="296"/>
      <c r="GR20" s="296"/>
      <c r="GS20" s="296"/>
      <c r="GT20" s="296"/>
      <c r="GU20" s="296"/>
      <c r="GV20" s="296"/>
      <c r="GW20" s="296"/>
      <c r="GX20" s="296"/>
      <c r="GY20" s="296"/>
      <c r="GZ20" s="296"/>
      <c r="HA20" s="296"/>
      <c r="HB20" s="296"/>
      <c r="HC20" s="296"/>
      <c r="HD20" s="296"/>
      <c r="HE20" s="296"/>
      <c r="HF20" s="296"/>
      <c r="HG20" s="296"/>
      <c r="HH20" s="296"/>
      <c r="HI20" s="296"/>
      <c r="HJ20" s="296"/>
      <c r="HK20" s="296"/>
      <c r="HL20" s="296"/>
      <c r="HM20" s="296"/>
      <c r="HN20" s="296"/>
      <c r="HO20" s="296"/>
      <c r="HP20" s="296"/>
      <c r="HQ20" s="296"/>
      <c r="HR20" s="296"/>
      <c r="HS20" s="296"/>
      <c r="HT20" s="296"/>
      <c r="HU20" s="296"/>
      <c r="HV20" s="296"/>
      <c r="HW20" s="296"/>
      <c r="HX20" s="296"/>
      <c r="HY20" s="296"/>
      <c r="HZ20" s="296"/>
      <c r="IA20" s="296"/>
      <c r="IB20" s="296"/>
      <c r="IC20" s="296"/>
      <c r="ID20" s="296"/>
      <c r="IE20" s="296"/>
      <c r="IF20" s="296"/>
      <c r="IG20" s="296"/>
      <c r="IH20" s="296"/>
      <c r="II20" s="296"/>
      <c r="IJ20" s="296"/>
      <c r="IK20" s="296"/>
      <c r="IL20" s="296"/>
      <c r="IM20" s="296"/>
      <c r="IN20" s="296"/>
      <c r="IO20" s="296"/>
      <c r="IP20" s="296"/>
      <c r="IQ20" s="296"/>
      <c r="IR20" s="296"/>
      <c r="IS20" s="296"/>
      <c r="IT20" s="296"/>
      <c r="IU20" s="296"/>
      <c r="IV20" s="296"/>
    </row>
    <row r="21" spans="1:256" customFormat="1" ht="24" customHeight="1">
      <c r="A21" s="301" t="s">
        <v>106</v>
      </c>
      <c r="B21" s="290">
        <v>18741</v>
      </c>
      <c r="C21" s="290"/>
      <c r="D21" s="290">
        <v>13121</v>
      </c>
      <c r="E21" s="302"/>
      <c r="F21" s="303">
        <f t="shared" si="1"/>
        <v>-30</v>
      </c>
      <c r="G21" s="30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296"/>
      <c r="GQ21" s="296"/>
      <c r="GR21" s="296"/>
      <c r="GS21" s="296"/>
      <c r="GT21" s="296"/>
      <c r="GU21" s="296"/>
      <c r="GV21" s="296"/>
      <c r="GW21" s="296"/>
      <c r="GX21" s="296"/>
      <c r="GY21" s="296"/>
      <c r="GZ21" s="296"/>
      <c r="HA21" s="296"/>
      <c r="HB21" s="296"/>
      <c r="HC21" s="296"/>
      <c r="HD21" s="296"/>
      <c r="HE21" s="296"/>
      <c r="HF21" s="296"/>
      <c r="HG21" s="296"/>
      <c r="HH21" s="296"/>
      <c r="HI21" s="296"/>
      <c r="HJ21" s="296"/>
      <c r="HK21" s="296"/>
      <c r="HL21" s="296"/>
      <c r="HM21" s="296"/>
      <c r="HN21" s="296"/>
      <c r="HO21" s="296"/>
      <c r="HP21" s="296"/>
      <c r="HQ21" s="296"/>
      <c r="HR21" s="296"/>
      <c r="HS21" s="296"/>
      <c r="HT21" s="296"/>
      <c r="HU21" s="296"/>
      <c r="HV21" s="296"/>
      <c r="HW21" s="296"/>
      <c r="HX21" s="296"/>
      <c r="HY21" s="296"/>
      <c r="HZ21" s="296"/>
      <c r="IA21" s="296"/>
      <c r="IB21" s="296"/>
      <c r="IC21" s="296"/>
      <c r="ID21" s="296"/>
      <c r="IE21" s="296"/>
      <c r="IF21" s="296"/>
      <c r="IG21" s="296"/>
      <c r="IH21" s="296"/>
      <c r="II21" s="296"/>
      <c r="IJ21" s="296"/>
      <c r="IK21" s="296"/>
      <c r="IL21" s="296"/>
      <c r="IM21" s="296"/>
      <c r="IN21" s="296"/>
      <c r="IO21" s="296"/>
      <c r="IP21" s="296"/>
      <c r="IQ21" s="296"/>
      <c r="IR21" s="296"/>
      <c r="IS21" s="296"/>
      <c r="IT21" s="296"/>
      <c r="IU21" s="296"/>
      <c r="IV21" s="296"/>
    </row>
    <row r="22" spans="1:256" customFormat="1" ht="24" customHeight="1">
      <c r="A22" s="301" t="s">
        <v>107</v>
      </c>
      <c r="B22" s="290">
        <v>1321</v>
      </c>
      <c r="C22" s="290"/>
      <c r="D22" s="290">
        <v>3068</v>
      </c>
      <c r="E22" s="302"/>
      <c r="F22" s="303">
        <f t="shared" si="1"/>
        <v>132.19999999999999</v>
      </c>
      <c r="G22" s="30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296"/>
      <c r="GQ22" s="296"/>
      <c r="GR22" s="296"/>
      <c r="GS22" s="296"/>
      <c r="GT22" s="296"/>
      <c r="GU22" s="296"/>
      <c r="GV22" s="296"/>
      <c r="GW22" s="296"/>
      <c r="GX22" s="296"/>
      <c r="GY22" s="296"/>
      <c r="GZ22" s="296"/>
      <c r="HA22" s="296"/>
      <c r="HB22" s="296"/>
      <c r="HC22" s="296"/>
      <c r="HD22" s="296"/>
      <c r="HE22" s="296"/>
      <c r="HF22" s="296"/>
      <c r="HG22" s="296"/>
      <c r="HH22" s="296"/>
      <c r="HI22" s="296"/>
      <c r="HJ22" s="296"/>
      <c r="HK22" s="296"/>
      <c r="HL22" s="296"/>
      <c r="HM22" s="296"/>
      <c r="HN22" s="296"/>
      <c r="HO22" s="296"/>
      <c r="HP22" s="296"/>
      <c r="HQ22" s="296"/>
      <c r="HR22" s="296"/>
      <c r="HS22" s="296"/>
      <c r="HT22" s="296"/>
      <c r="HU22" s="296"/>
      <c r="HV22" s="296"/>
      <c r="HW22" s="296"/>
      <c r="HX22" s="296"/>
      <c r="HY22" s="296"/>
      <c r="HZ22" s="296"/>
      <c r="IA22" s="296"/>
      <c r="IB22" s="296"/>
      <c r="IC22" s="296"/>
      <c r="ID22" s="296"/>
      <c r="IE22" s="296"/>
      <c r="IF22" s="296"/>
      <c r="IG22" s="296"/>
      <c r="IH22" s="296"/>
      <c r="II22" s="296"/>
      <c r="IJ22" s="296"/>
      <c r="IK22" s="296"/>
      <c r="IL22" s="296"/>
      <c r="IM22" s="296"/>
      <c r="IN22" s="296"/>
      <c r="IO22" s="296"/>
      <c r="IP22" s="296"/>
      <c r="IQ22" s="296"/>
      <c r="IR22" s="296"/>
      <c r="IS22" s="296"/>
      <c r="IT22" s="296"/>
      <c r="IU22" s="296"/>
      <c r="IV22" s="296"/>
    </row>
    <row r="23" spans="1:256" customFormat="1" ht="24" customHeight="1">
      <c r="A23" s="301" t="s">
        <v>108</v>
      </c>
      <c r="B23" s="290">
        <v>6895</v>
      </c>
      <c r="C23" s="290"/>
      <c r="D23" s="290">
        <v>6347</v>
      </c>
      <c r="E23" s="302"/>
      <c r="F23" s="303">
        <f t="shared" si="1"/>
        <v>-7.9</v>
      </c>
      <c r="G23" s="177"/>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6"/>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c r="HX23" s="296"/>
      <c r="HY23" s="296"/>
      <c r="HZ23" s="296"/>
      <c r="IA23" s="296"/>
      <c r="IB23" s="296"/>
      <c r="IC23" s="296"/>
      <c r="ID23" s="296"/>
      <c r="IE23" s="296"/>
      <c r="IF23" s="296"/>
      <c r="IG23" s="296"/>
      <c r="IH23" s="296"/>
      <c r="II23" s="296"/>
      <c r="IJ23" s="296"/>
      <c r="IK23" s="296"/>
      <c r="IL23" s="296"/>
      <c r="IM23" s="296"/>
      <c r="IN23" s="296"/>
      <c r="IO23" s="296"/>
      <c r="IP23" s="296"/>
      <c r="IQ23" s="296"/>
      <c r="IR23" s="296"/>
      <c r="IS23" s="296"/>
      <c r="IT23" s="296"/>
      <c r="IU23" s="296"/>
      <c r="IV23" s="296"/>
    </row>
    <row r="24" spans="1:256" customFormat="1" ht="24" customHeight="1">
      <c r="A24" s="301" t="s">
        <v>132</v>
      </c>
      <c r="B24" s="290">
        <v>17779</v>
      </c>
      <c r="C24" s="290"/>
      <c r="D24" s="290">
        <v>18804</v>
      </c>
      <c r="E24" s="302"/>
      <c r="F24" s="303">
        <f t="shared" si="1"/>
        <v>5.8</v>
      </c>
      <c r="G24" s="177"/>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c r="HZ24" s="296"/>
      <c r="IA24" s="296"/>
      <c r="IB24" s="296"/>
      <c r="IC24" s="296"/>
      <c r="ID24" s="296"/>
      <c r="IE24" s="296"/>
      <c r="IF24" s="296"/>
      <c r="IG24" s="296"/>
      <c r="IH24" s="296"/>
      <c r="II24" s="296"/>
      <c r="IJ24" s="296"/>
      <c r="IK24" s="296"/>
      <c r="IL24" s="296"/>
      <c r="IM24" s="296"/>
      <c r="IN24" s="296"/>
      <c r="IO24" s="296"/>
      <c r="IP24" s="296"/>
      <c r="IQ24" s="296"/>
      <c r="IR24" s="296"/>
      <c r="IS24" s="296"/>
      <c r="IT24" s="296"/>
      <c r="IU24" s="296"/>
      <c r="IV24" s="296"/>
    </row>
    <row r="25" spans="1:256" customFormat="1" ht="24" customHeight="1">
      <c r="A25" s="301" t="s">
        <v>133</v>
      </c>
      <c r="B25" s="290">
        <v>77</v>
      </c>
      <c r="C25" s="290"/>
      <c r="D25" s="290">
        <v>113</v>
      </c>
      <c r="E25" s="306"/>
      <c r="F25" s="303">
        <f t="shared" si="1"/>
        <v>46.8</v>
      </c>
      <c r="G25" s="304"/>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6"/>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c r="HX25" s="296"/>
      <c r="HY25" s="296"/>
      <c r="HZ25" s="296"/>
      <c r="IA25" s="296"/>
      <c r="IB25" s="296"/>
      <c r="IC25" s="296"/>
      <c r="ID25" s="296"/>
      <c r="IE25" s="296"/>
      <c r="IF25" s="296"/>
      <c r="IG25" s="296"/>
      <c r="IH25" s="296"/>
      <c r="II25" s="296"/>
      <c r="IJ25" s="296"/>
      <c r="IK25" s="296"/>
      <c r="IL25" s="296"/>
      <c r="IM25" s="296"/>
      <c r="IN25" s="296"/>
      <c r="IO25" s="296"/>
      <c r="IP25" s="296"/>
      <c r="IQ25" s="296"/>
      <c r="IR25" s="296"/>
      <c r="IS25" s="296"/>
      <c r="IT25" s="296"/>
      <c r="IU25" s="296"/>
      <c r="IV25" s="296"/>
    </row>
    <row r="26" spans="1:256" customFormat="1" ht="24" customHeight="1">
      <c r="A26" s="301" t="s">
        <v>134</v>
      </c>
      <c r="B26" s="290">
        <v>8755</v>
      </c>
      <c r="C26" s="287"/>
      <c r="D26" s="290">
        <v>2938</v>
      </c>
      <c r="E26" s="307"/>
      <c r="F26" s="303">
        <f t="shared" ref="F26" si="2">(D26/B26-1)*100</f>
        <v>-66.400000000000006</v>
      </c>
      <c r="G26" s="177"/>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96"/>
      <c r="HA26" s="296"/>
      <c r="HB26" s="296"/>
      <c r="HC26" s="296"/>
      <c r="HD26" s="296"/>
      <c r="HE26" s="296"/>
      <c r="HF26" s="296"/>
      <c r="HG26" s="296"/>
      <c r="HH26" s="296"/>
      <c r="HI26" s="296"/>
      <c r="HJ26" s="296"/>
      <c r="HK26" s="296"/>
      <c r="HL26" s="296"/>
      <c r="HM26" s="296"/>
      <c r="HN26" s="296"/>
      <c r="HO26" s="296"/>
      <c r="HP26" s="296"/>
      <c r="HQ26" s="296"/>
      <c r="HR26" s="296"/>
      <c r="HS26" s="296"/>
      <c r="HT26" s="296"/>
      <c r="HU26" s="296"/>
      <c r="HV26" s="296"/>
      <c r="HW26" s="296"/>
      <c r="HX26" s="296"/>
      <c r="HY26" s="296"/>
      <c r="HZ26" s="296"/>
      <c r="IA26" s="296"/>
      <c r="IB26" s="296"/>
      <c r="IC26" s="296"/>
      <c r="ID26" s="296"/>
      <c r="IE26" s="296"/>
      <c r="IF26" s="296"/>
      <c r="IG26" s="296"/>
      <c r="IH26" s="296"/>
      <c r="II26" s="296"/>
      <c r="IJ26" s="296"/>
      <c r="IK26" s="296"/>
      <c r="IL26" s="296"/>
      <c r="IM26" s="296"/>
      <c r="IN26" s="296"/>
      <c r="IO26" s="296"/>
      <c r="IP26" s="296"/>
      <c r="IQ26" s="296"/>
      <c r="IR26" s="296"/>
      <c r="IS26" s="296"/>
      <c r="IT26" s="296"/>
      <c r="IU26" s="296"/>
      <c r="IV26" s="296"/>
    </row>
    <row r="27" spans="1:256" customFormat="1" ht="24" customHeight="1">
      <c r="A27" s="308"/>
      <c r="B27" s="290"/>
      <c r="C27" s="290"/>
      <c r="D27" s="290"/>
      <c r="E27" s="309"/>
      <c r="F27" s="303"/>
      <c r="G27" s="310"/>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G27" s="296"/>
      <c r="FH27" s="296"/>
      <c r="FI27" s="296"/>
      <c r="FJ27" s="296"/>
      <c r="FK27" s="296"/>
      <c r="FL27" s="296"/>
      <c r="FM27" s="296"/>
      <c r="FN27" s="296"/>
      <c r="FO27" s="296"/>
      <c r="FP27" s="296"/>
      <c r="FQ27" s="296"/>
      <c r="FR27" s="296"/>
      <c r="FS27" s="296"/>
      <c r="FT27" s="296"/>
      <c r="FU27" s="296"/>
      <c r="FV27" s="296"/>
      <c r="FW27" s="296"/>
      <c r="FX27" s="296"/>
      <c r="FY27" s="296"/>
      <c r="FZ27" s="296"/>
      <c r="GA27" s="296"/>
      <c r="GB27" s="296"/>
      <c r="GC27" s="296"/>
      <c r="GD27" s="296"/>
      <c r="GE27" s="296"/>
      <c r="GF27" s="296"/>
      <c r="GG27" s="296"/>
      <c r="GH27" s="296"/>
      <c r="GI27" s="296"/>
      <c r="GJ27" s="296"/>
      <c r="GK27" s="296"/>
      <c r="GL27" s="296"/>
      <c r="GM27" s="296"/>
      <c r="GN27" s="296"/>
      <c r="GO27" s="296"/>
      <c r="GP27" s="296"/>
      <c r="GQ27" s="296"/>
      <c r="GR27" s="296"/>
      <c r="GS27" s="296"/>
      <c r="GT27" s="296"/>
      <c r="GU27" s="296"/>
      <c r="GV27" s="296"/>
      <c r="GW27" s="296"/>
      <c r="GX27" s="296"/>
      <c r="GY27" s="296"/>
      <c r="GZ27" s="296"/>
      <c r="HA27" s="296"/>
      <c r="HB27" s="296"/>
      <c r="HC27" s="296"/>
      <c r="HD27" s="296"/>
      <c r="HE27" s="296"/>
      <c r="HF27" s="296"/>
      <c r="HG27" s="296"/>
      <c r="HH27" s="296"/>
      <c r="HI27" s="296"/>
      <c r="HJ27" s="296"/>
      <c r="HK27" s="296"/>
      <c r="HL27" s="296"/>
      <c r="HM27" s="296"/>
      <c r="HN27" s="296"/>
      <c r="HO27" s="296"/>
      <c r="HP27" s="296"/>
      <c r="HQ27" s="296"/>
      <c r="HR27" s="296"/>
      <c r="HS27" s="296"/>
      <c r="HT27" s="296"/>
      <c r="HU27" s="296"/>
      <c r="HV27" s="296"/>
      <c r="HW27" s="296"/>
      <c r="HX27" s="296"/>
      <c r="HY27" s="296"/>
      <c r="HZ27" s="296"/>
      <c r="IA27" s="296"/>
      <c r="IB27" s="296"/>
      <c r="IC27" s="296"/>
      <c r="ID27" s="296"/>
      <c r="IE27" s="296"/>
      <c r="IF27" s="296"/>
      <c r="IG27" s="296"/>
      <c r="IH27" s="296"/>
      <c r="II27" s="296"/>
      <c r="IJ27" s="296"/>
      <c r="IK27" s="296"/>
      <c r="IL27" s="296"/>
      <c r="IM27" s="296"/>
      <c r="IN27" s="296"/>
      <c r="IO27" s="296"/>
      <c r="IP27" s="296"/>
      <c r="IQ27" s="296"/>
      <c r="IR27" s="296"/>
      <c r="IS27" s="296"/>
      <c r="IT27" s="296"/>
      <c r="IU27" s="296"/>
      <c r="IV27" s="296"/>
    </row>
    <row r="28" spans="1:256" s="295" customFormat="1" ht="24" customHeight="1">
      <c r="A28" s="311" t="s">
        <v>113</v>
      </c>
      <c r="B28" s="287">
        <f>SUM(B4:B26)</f>
        <v>365601</v>
      </c>
      <c r="C28" s="287">
        <f>SUM(C4:C26)</f>
        <v>0</v>
      </c>
      <c r="D28" s="287">
        <f>SUM(D4:D26)</f>
        <v>432430</v>
      </c>
      <c r="E28" s="312"/>
      <c r="F28" s="313">
        <f>(D28/B28-1)*100</f>
        <v>18.3</v>
      </c>
      <c r="G28" s="314"/>
    </row>
    <row r="29" spans="1:256" customFormat="1" ht="12.75" customHeight="1">
      <c r="A29" s="296"/>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row>
    <row r="30" spans="1:256" customFormat="1" ht="12.75" customHeight="1">
      <c r="A30" s="296"/>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row>
    <row r="31" spans="1:256" customFormat="1" ht="12.75" customHeight="1">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row>
    <row r="32" spans="1:256" customFormat="1" ht="12.75" customHeight="1">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row>
    <row r="33" spans="1:256" customFormat="1" ht="12.75" customHeight="1">
      <c r="A33" s="296"/>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row>
    <row r="34" spans="1:256" customFormat="1" ht="12.75" customHeight="1">
      <c r="A34" s="296"/>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row>
    <row r="35" spans="1:256" customFormat="1" ht="12.75" customHeight="1">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row>
    <row r="36" spans="1:256" customFormat="1" ht="12.75" customHeight="1">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row>
    <row r="37" spans="1:256" customFormat="1" ht="12.75" customHeight="1">
      <c r="A37" s="296"/>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G37" s="296"/>
      <c r="FH37" s="296"/>
      <c r="FI37" s="296"/>
      <c r="FJ37" s="296"/>
      <c r="FK37" s="296"/>
      <c r="FL37" s="296"/>
      <c r="FM37" s="296"/>
      <c r="FN37" s="296"/>
      <c r="FO37" s="296"/>
      <c r="FP37" s="296"/>
      <c r="FQ37" s="296"/>
      <c r="FR37" s="296"/>
      <c r="FS37" s="296"/>
      <c r="FT37" s="296"/>
      <c r="FU37" s="296"/>
      <c r="FV37" s="296"/>
      <c r="FW37" s="296"/>
      <c r="FX37" s="296"/>
      <c r="FY37" s="296"/>
      <c r="FZ37" s="296"/>
      <c r="GA37" s="296"/>
      <c r="GB37" s="296"/>
      <c r="GC37" s="296"/>
      <c r="GD37" s="296"/>
      <c r="GE37" s="296"/>
      <c r="GF37" s="296"/>
      <c r="GG37" s="296"/>
      <c r="GH37" s="296"/>
      <c r="GI37" s="296"/>
      <c r="GJ37" s="296"/>
      <c r="GK37" s="296"/>
      <c r="GL37" s="296"/>
      <c r="GM37" s="296"/>
      <c r="GN37" s="296"/>
      <c r="GO37" s="296"/>
      <c r="GP37" s="296"/>
      <c r="GQ37" s="296"/>
      <c r="GR37" s="296"/>
      <c r="GS37" s="296"/>
      <c r="GT37" s="296"/>
      <c r="GU37" s="296"/>
      <c r="GV37" s="296"/>
      <c r="GW37" s="296"/>
      <c r="GX37" s="296"/>
      <c r="GY37" s="296"/>
      <c r="GZ37" s="296"/>
      <c r="HA37" s="296"/>
      <c r="HB37" s="296"/>
      <c r="HC37" s="296"/>
      <c r="HD37" s="296"/>
      <c r="HE37" s="296"/>
      <c r="HF37" s="296"/>
      <c r="HG37" s="296"/>
      <c r="HH37" s="296"/>
      <c r="HI37" s="296"/>
      <c r="HJ37" s="296"/>
      <c r="HK37" s="296"/>
      <c r="HL37" s="296"/>
      <c r="HM37" s="296"/>
      <c r="HN37" s="296"/>
      <c r="HO37" s="296"/>
      <c r="HP37" s="296"/>
      <c r="HQ37" s="296"/>
      <c r="HR37" s="296"/>
      <c r="HS37" s="296"/>
      <c r="HT37" s="296"/>
      <c r="HU37" s="296"/>
      <c r="HV37" s="296"/>
      <c r="HW37" s="296"/>
      <c r="HX37" s="296"/>
      <c r="HY37" s="296"/>
      <c r="HZ37" s="296"/>
      <c r="IA37" s="296"/>
      <c r="IB37" s="296"/>
      <c r="IC37" s="296"/>
      <c r="ID37" s="296"/>
      <c r="IE37" s="296"/>
      <c r="IF37" s="296"/>
      <c r="IG37" s="296"/>
      <c r="IH37" s="296"/>
      <c r="II37" s="296"/>
      <c r="IJ37" s="296"/>
      <c r="IK37" s="296"/>
      <c r="IL37" s="296"/>
      <c r="IM37" s="296"/>
      <c r="IN37" s="296"/>
      <c r="IO37" s="296"/>
      <c r="IP37" s="296"/>
      <c r="IQ37" s="296"/>
      <c r="IR37" s="296"/>
      <c r="IS37" s="296"/>
      <c r="IT37" s="296"/>
      <c r="IU37" s="296"/>
      <c r="IV37" s="296"/>
    </row>
    <row r="38" spans="1:256" customFormat="1" ht="12.75" customHeight="1">
      <c r="A38" s="296"/>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G38" s="296"/>
      <c r="FH38" s="296"/>
      <c r="FI38" s="296"/>
      <c r="FJ38" s="296"/>
      <c r="FK38" s="296"/>
      <c r="FL38" s="296"/>
      <c r="FM38" s="296"/>
      <c r="FN38" s="296"/>
      <c r="FO38" s="296"/>
      <c r="FP38" s="296"/>
      <c r="FQ38" s="296"/>
      <c r="FR38" s="296"/>
      <c r="FS38" s="296"/>
      <c r="FT38" s="296"/>
      <c r="FU38" s="296"/>
      <c r="FV38" s="296"/>
      <c r="FW38" s="296"/>
      <c r="FX38" s="296"/>
      <c r="FY38" s="296"/>
      <c r="FZ38" s="296"/>
      <c r="GA38" s="296"/>
      <c r="GB38" s="296"/>
      <c r="GC38" s="296"/>
      <c r="GD38" s="296"/>
      <c r="GE38" s="296"/>
      <c r="GF38" s="296"/>
      <c r="GG38" s="296"/>
      <c r="GH38" s="296"/>
      <c r="GI38" s="296"/>
      <c r="GJ38" s="296"/>
      <c r="GK38" s="296"/>
      <c r="GL38" s="296"/>
      <c r="GM38" s="296"/>
      <c r="GN38" s="296"/>
      <c r="GO38" s="296"/>
      <c r="GP38" s="296"/>
      <c r="GQ38" s="296"/>
      <c r="GR38" s="296"/>
      <c r="GS38" s="296"/>
      <c r="GT38" s="296"/>
      <c r="GU38" s="296"/>
      <c r="GV38" s="296"/>
      <c r="GW38" s="296"/>
      <c r="GX38" s="296"/>
      <c r="GY38" s="296"/>
      <c r="GZ38" s="296"/>
      <c r="HA38" s="296"/>
      <c r="HB38" s="296"/>
      <c r="HC38" s="296"/>
      <c r="HD38" s="296"/>
      <c r="HE38" s="296"/>
      <c r="HF38" s="296"/>
      <c r="HG38" s="296"/>
      <c r="HH38" s="296"/>
      <c r="HI38" s="296"/>
      <c r="HJ38" s="296"/>
      <c r="HK38" s="296"/>
      <c r="HL38" s="296"/>
      <c r="HM38" s="296"/>
      <c r="HN38" s="296"/>
      <c r="HO38" s="296"/>
      <c r="HP38" s="296"/>
      <c r="HQ38" s="296"/>
      <c r="HR38" s="296"/>
      <c r="HS38" s="296"/>
      <c r="HT38" s="296"/>
      <c r="HU38" s="296"/>
      <c r="HV38" s="296"/>
      <c r="HW38" s="296"/>
      <c r="HX38" s="296"/>
      <c r="HY38" s="296"/>
      <c r="HZ38" s="296"/>
      <c r="IA38" s="296"/>
      <c r="IB38" s="296"/>
      <c r="IC38" s="296"/>
      <c r="ID38" s="296"/>
      <c r="IE38" s="296"/>
      <c r="IF38" s="296"/>
      <c r="IG38" s="296"/>
      <c r="IH38" s="296"/>
      <c r="II38" s="296"/>
      <c r="IJ38" s="296"/>
      <c r="IK38" s="296"/>
      <c r="IL38" s="296"/>
      <c r="IM38" s="296"/>
      <c r="IN38" s="296"/>
      <c r="IO38" s="296"/>
      <c r="IP38" s="296"/>
      <c r="IQ38" s="296"/>
      <c r="IR38" s="296"/>
      <c r="IS38" s="296"/>
      <c r="IT38" s="296"/>
      <c r="IU38" s="296"/>
      <c r="IV38" s="296"/>
    </row>
    <row r="39" spans="1:256" customFormat="1" ht="12.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G39" s="296"/>
      <c r="FH39" s="296"/>
      <c r="FI39" s="296"/>
      <c r="FJ39" s="296"/>
      <c r="FK39" s="296"/>
      <c r="FL39" s="296"/>
      <c r="FM39" s="296"/>
      <c r="FN39" s="296"/>
      <c r="FO39" s="296"/>
      <c r="FP39" s="296"/>
      <c r="FQ39" s="296"/>
      <c r="FR39" s="296"/>
      <c r="FS39" s="296"/>
      <c r="FT39" s="296"/>
      <c r="FU39" s="296"/>
      <c r="FV39" s="296"/>
      <c r="FW39" s="296"/>
      <c r="FX39" s="296"/>
      <c r="FY39" s="296"/>
      <c r="FZ39" s="296"/>
      <c r="GA39" s="296"/>
      <c r="GB39" s="296"/>
      <c r="GC39" s="296"/>
      <c r="GD39" s="296"/>
      <c r="GE39" s="296"/>
      <c r="GF39" s="296"/>
      <c r="GG39" s="296"/>
      <c r="GH39" s="296"/>
      <c r="GI39" s="296"/>
      <c r="GJ39" s="296"/>
      <c r="GK39" s="296"/>
      <c r="GL39" s="296"/>
      <c r="GM39" s="296"/>
      <c r="GN39" s="296"/>
      <c r="GO39" s="296"/>
      <c r="GP39" s="296"/>
      <c r="GQ39" s="296"/>
      <c r="GR39" s="296"/>
      <c r="GS39" s="296"/>
      <c r="GT39" s="296"/>
      <c r="GU39" s="296"/>
      <c r="GV39" s="296"/>
      <c r="GW39" s="296"/>
      <c r="GX39" s="296"/>
      <c r="GY39" s="296"/>
      <c r="GZ39" s="296"/>
      <c r="HA39" s="296"/>
      <c r="HB39" s="296"/>
      <c r="HC39" s="296"/>
      <c r="HD39" s="296"/>
      <c r="HE39" s="296"/>
      <c r="HF39" s="296"/>
      <c r="HG39" s="296"/>
      <c r="HH39" s="296"/>
      <c r="HI39" s="296"/>
      <c r="HJ39" s="296"/>
      <c r="HK39" s="296"/>
      <c r="HL39" s="296"/>
      <c r="HM39" s="296"/>
      <c r="HN39" s="296"/>
      <c r="HO39" s="296"/>
      <c r="HP39" s="296"/>
      <c r="HQ39" s="296"/>
      <c r="HR39" s="296"/>
      <c r="HS39" s="296"/>
      <c r="HT39" s="296"/>
      <c r="HU39" s="296"/>
      <c r="HV39" s="296"/>
      <c r="HW39" s="296"/>
      <c r="HX39" s="296"/>
      <c r="HY39" s="296"/>
      <c r="HZ39" s="296"/>
      <c r="IA39" s="296"/>
      <c r="IB39" s="296"/>
      <c r="IC39" s="296"/>
      <c r="ID39" s="296"/>
      <c r="IE39" s="296"/>
      <c r="IF39" s="296"/>
      <c r="IG39" s="296"/>
      <c r="IH39" s="296"/>
      <c r="II39" s="296"/>
      <c r="IJ39" s="296"/>
      <c r="IK39" s="296"/>
      <c r="IL39" s="296"/>
      <c r="IM39" s="296"/>
      <c r="IN39" s="296"/>
      <c r="IO39" s="296"/>
      <c r="IP39" s="296"/>
      <c r="IQ39" s="296"/>
      <c r="IR39" s="296"/>
      <c r="IS39" s="296"/>
      <c r="IT39" s="296"/>
      <c r="IU39" s="296"/>
      <c r="IV39" s="296"/>
    </row>
    <row r="40" spans="1:256" customFormat="1" ht="12.75" customHeight="1">
      <c r="A40" s="296"/>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296"/>
      <c r="DV40" s="296"/>
      <c r="DW40" s="296"/>
      <c r="DX40" s="296"/>
      <c r="DY40" s="296"/>
      <c r="DZ40" s="296"/>
      <c r="EA40" s="296"/>
      <c r="EB40" s="296"/>
      <c r="EC40" s="296"/>
      <c r="ED40" s="296"/>
      <c r="EE40" s="296"/>
      <c r="EF40" s="296"/>
      <c r="EG40" s="296"/>
      <c r="EH40" s="296"/>
      <c r="EI40" s="296"/>
      <c r="EJ40" s="296"/>
      <c r="EK40" s="296"/>
      <c r="EL40" s="296"/>
      <c r="EM40" s="296"/>
      <c r="EN40" s="296"/>
      <c r="EO40" s="296"/>
      <c r="EP40" s="296"/>
      <c r="EQ40" s="296"/>
      <c r="ER40" s="296"/>
      <c r="ES40" s="296"/>
      <c r="ET40" s="296"/>
      <c r="EU40" s="296"/>
      <c r="EV40" s="296"/>
      <c r="EW40" s="296"/>
      <c r="EX40" s="296"/>
      <c r="EY40" s="296"/>
      <c r="EZ40" s="296"/>
      <c r="FA40" s="296"/>
      <c r="FB40" s="296"/>
      <c r="FC40" s="296"/>
      <c r="FD40" s="296"/>
      <c r="FE40" s="296"/>
      <c r="FF40" s="296"/>
      <c r="FG40" s="296"/>
      <c r="FH40" s="296"/>
      <c r="FI40" s="296"/>
      <c r="FJ40" s="296"/>
      <c r="FK40" s="296"/>
      <c r="FL40" s="296"/>
      <c r="FM40" s="296"/>
      <c r="FN40" s="296"/>
      <c r="FO40" s="296"/>
      <c r="FP40" s="296"/>
      <c r="FQ40" s="296"/>
      <c r="FR40" s="296"/>
      <c r="FS40" s="296"/>
      <c r="FT40" s="296"/>
      <c r="FU40" s="296"/>
      <c r="FV40" s="296"/>
      <c r="FW40" s="296"/>
      <c r="FX40" s="296"/>
      <c r="FY40" s="296"/>
      <c r="FZ40" s="296"/>
      <c r="GA40" s="296"/>
      <c r="GB40" s="296"/>
      <c r="GC40" s="296"/>
      <c r="GD40" s="296"/>
      <c r="GE40" s="296"/>
      <c r="GF40" s="296"/>
      <c r="GG40" s="296"/>
      <c r="GH40" s="296"/>
      <c r="GI40" s="296"/>
      <c r="GJ40" s="296"/>
      <c r="GK40" s="296"/>
      <c r="GL40" s="296"/>
      <c r="GM40" s="296"/>
      <c r="GN40" s="296"/>
      <c r="GO40" s="296"/>
      <c r="GP40" s="296"/>
      <c r="GQ40" s="296"/>
      <c r="GR40" s="296"/>
      <c r="GS40" s="296"/>
      <c r="GT40" s="296"/>
      <c r="GU40" s="296"/>
      <c r="GV40" s="296"/>
      <c r="GW40" s="296"/>
      <c r="GX40" s="296"/>
      <c r="GY40" s="296"/>
      <c r="GZ40" s="296"/>
      <c r="HA40" s="296"/>
      <c r="HB40" s="296"/>
      <c r="HC40" s="296"/>
      <c r="HD40" s="296"/>
      <c r="HE40" s="296"/>
      <c r="HF40" s="296"/>
      <c r="HG40" s="296"/>
      <c r="HH40" s="296"/>
      <c r="HI40" s="296"/>
      <c r="HJ40" s="296"/>
      <c r="HK40" s="296"/>
      <c r="HL40" s="296"/>
      <c r="HM40" s="296"/>
      <c r="HN40" s="296"/>
      <c r="HO40" s="296"/>
      <c r="HP40" s="296"/>
      <c r="HQ40" s="296"/>
      <c r="HR40" s="296"/>
      <c r="HS40" s="296"/>
      <c r="HT40" s="296"/>
      <c r="HU40" s="296"/>
      <c r="HV40" s="296"/>
      <c r="HW40" s="296"/>
      <c r="HX40" s="296"/>
      <c r="HY40" s="296"/>
      <c r="HZ40" s="296"/>
      <c r="IA40" s="296"/>
      <c r="IB40" s="296"/>
      <c r="IC40" s="296"/>
      <c r="ID40" s="296"/>
      <c r="IE40" s="296"/>
      <c r="IF40" s="296"/>
      <c r="IG40" s="296"/>
      <c r="IH40" s="296"/>
      <c r="II40" s="296"/>
      <c r="IJ40" s="296"/>
      <c r="IK40" s="296"/>
      <c r="IL40" s="296"/>
      <c r="IM40" s="296"/>
      <c r="IN40" s="296"/>
      <c r="IO40" s="296"/>
      <c r="IP40" s="296"/>
      <c r="IQ40" s="296"/>
      <c r="IR40" s="296"/>
      <c r="IS40" s="296"/>
      <c r="IT40" s="296"/>
      <c r="IU40" s="296"/>
      <c r="IV40" s="296"/>
    </row>
    <row r="41" spans="1:256" customFormat="1" ht="12.75" customHeight="1">
      <c r="A41" s="296"/>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296"/>
      <c r="DJ41" s="296"/>
      <c r="DK41" s="296"/>
      <c r="DL41" s="296"/>
      <c r="DM41" s="296"/>
      <c r="DN41" s="296"/>
      <c r="DO41" s="296"/>
      <c r="DP41" s="296"/>
      <c r="DQ41" s="296"/>
      <c r="DR41" s="296"/>
      <c r="DS41" s="296"/>
      <c r="DT41" s="296"/>
      <c r="DU41" s="296"/>
      <c r="DV41" s="296"/>
      <c r="DW41" s="296"/>
      <c r="DX41" s="296"/>
      <c r="DY41" s="296"/>
      <c r="DZ41" s="296"/>
      <c r="EA41" s="296"/>
      <c r="EB41" s="296"/>
      <c r="EC41" s="296"/>
      <c r="ED41" s="296"/>
      <c r="EE41" s="296"/>
      <c r="EF41" s="296"/>
      <c r="EG41" s="296"/>
      <c r="EH41" s="296"/>
      <c r="EI41" s="296"/>
      <c r="EJ41" s="296"/>
      <c r="EK41" s="296"/>
      <c r="EL41" s="296"/>
      <c r="EM41" s="296"/>
      <c r="EN41" s="296"/>
      <c r="EO41" s="296"/>
      <c r="EP41" s="296"/>
      <c r="EQ41" s="296"/>
      <c r="ER41" s="296"/>
      <c r="ES41" s="296"/>
      <c r="ET41" s="296"/>
      <c r="EU41" s="296"/>
      <c r="EV41" s="296"/>
      <c r="EW41" s="296"/>
      <c r="EX41" s="296"/>
      <c r="EY41" s="296"/>
      <c r="EZ41" s="296"/>
      <c r="FA41" s="296"/>
      <c r="FB41" s="296"/>
      <c r="FC41" s="296"/>
      <c r="FD41" s="296"/>
      <c r="FE41" s="296"/>
      <c r="FF41" s="296"/>
      <c r="FG41" s="296"/>
      <c r="FH41" s="296"/>
      <c r="FI41" s="296"/>
      <c r="FJ41" s="296"/>
      <c r="FK41" s="296"/>
      <c r="FL41" s="296"/>
      <c r="FM41" s="296"/>
      <c r="FN41" s="296"/>
      <c r="FO41" s="296"/>
      <c r="FP41" s="296"/>
      <c r="FQ41" s="296"/>
      <c r="FR41" s="296"/>
      <c r="FS41" s="296"/>
      <c r="FT41" s="296"/>
      <c r="FU41" s="296"/>
      <c r="FV41" s="296"/>
      <c r="FW41" s="296"/>
      <c r="FX41" s="296"/>
      <c r="FY41" s="296"/>
      <c r="FZ41" s="296"/>
      <c r="GA41" s="296"/>
      <c r="GB41" s="296"/>
      <c r="GC41" s="296"/>
      <c r="GD41" s="296"/>
      <c r="GE41" s="296"/>
      <c r="GF41" s="296"/>
      <c r="GG41" s="296"/>
      <c r="GH41" s="296"/>
      <c r="GI41" s="296"/>
      <c r="GJ41" s="296"/>
      <c r="GK41" s="296"/>
      <c r="GL41" s="296"/>
      <c r="GM41" s="296"/>
      <c r="GN41" s="296"/>
      <c r="GO41" s="296"/>
      <c r="GP41" s="296"/>
      <c r="GQ41" s="296"/>
      <c r="GR41" s="296"/>
      <c r="GS41" s="296"/>
      <c r="GT41" s="296"/>
      <c r="GU41" s="296"/>
      <c r="GV41" s="296"/>
      <c r="GW41" s="296"/>
      <c r="GX41" s="296"/>
      <c r="GY41" s="296"/>
      <c r="GZ41" s="296"/>
      <c r="HA41" s="296"/>
      <c r="HB41" s="296"/>
      <c r="HC41" s="296"/>
      <c r="HD41" s="296"/>
      <c r="HE41" s="296"/>
      <c r="HF41" s="296"/>
      <c r="HG41" s="296"/>
      <c r="HH41" s="296"/>
      <c r="HI41" s="296"/>
      <c r="HJ41" s="296"/>
      <c r="HK41" s="296"/>
      <c r="HL41" s="296"/>
      <c r="HM41" s="296"/>
      <c r="HN41" s="296"/>
      <c r="HO41" s="296"/>
      <c r="HP41" s="296"/>
      <c r="HQ41" s="296"/>
      <c r="HR41" s="296"/>
      <c r="HS41" s="296"/>
      <c r="HT41" s="296"/>
      <c r="HU41" s="296"/>
      <c r="HV41" s="296"/>
      <c r="HW41" s="296"/>
      <c r="HX41" s="296"/>
      <c r="HY41" s="296"/>
      <c r="HZ41" s="296"/>
      <c r="IA41" s="296"/>
      <c r="IB41" s="296"/>
      <c r="IC41" s="296"/>
      <c r="ID41" s="296"/>
      <c r="IE41" s="296"/>
      <c r="IF41" s="296"/>
      <c r="IG41" s="296"/>
      <c r="IH41" s="296"/>
      <c r="II41" s="296"/>
      <c r="IJ41" s="296"/>
      <c r="IK41" s="296"/>
      <c r="IL41" s="296"/>
      <c r="IM41" s="296"/>
      <c r="IN41" s="296"/>
      <c r="IO41" s="296"/>
      <c r="IP41" s="296"/>
      <c r="IQ41" s="296"/>
      <c r="IR41" s="296"/>
      <c r="IS41" s="296"/>
      <c r="IT41" s="296"/>
      <c r="IU41" s="296"/>
      <c r="IV41" s="296"/>
    </row>
    <row r="42" spans="1:256" customFormat="1" ht="12.75" customHeight="1">
      <c r="A42" s="296"/>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296"/>
      <c r="DS42" s="296"/>
      <c r="DT42" s="296"/>
      <c r="DU42" s="296"/>
      <c r="DV42" s="296"/>
      <c r="DW42" s="296"/>
      <c r="DX42" s="296"/>
      <c r="DY42" s="296"/>
      <c r="DZ42" s="296"/>
      <c r="EA42" s="296"/>
      <c r="EB42" s="296"/>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296"/>
      <c r="EZ42" s="296"/>
      <c r="FA42" s="296"/>
      <c r="FB42" s="296"/>
      <c r="FC42" s="296"/>
      <c r="FD42" s="296"/>
      <c r="FE42" s="296"/>
      <c r="FF42" s="296"/>
      <c r="FG42" s="296"/>
      <c r="FH42" s="296"/>
      <c r="FI42" s="296"/>
      <c r="FJ42" s="296"/>
      <c r="FK42" s="296"/>
      <c r="FL42" s="296"/>
      <c r="FM42" s="296"/>
      <c r="FN42" s="296"/>
      <c r="FO42" s="296"/>
      <c r="FP42" s="296"/>
      <c r="FQ42" s="296"/>
      <c r="FR42" s="296"/>
      <c r="FS42" s="296"/>
      <c r="FT42" s="296"/>
      <c r="FU42" s="296"/>
      <c r="FV42" s="296"/>
      <c r="FW42" s="296"/>
      <c r="FX42" s="296"/>
      <c r="FY42" s="296"/>
      <c r="FZ42" s="296"/>
      <c r="GA42" s="296"/>
      <c r="GB42" s="296"/>
      <c r="GC42" s="296"/>
      <c r="GD42" s="296"/>
      <c r="GE42" s="296"/>
      <c r="GF42" s="296"/>
      <c r="GG42" s="296"/>
      <c r="GH42" s="296"/>
      <c r="GI42" s="296"/>
      <c r="GJ42" s="296"/>
      <c r="GK42" s="296"/>
      <c r="GL42" s="296"/>
      <c r="GM42" s="296"/>
      <c r="GN42" s="296"/>
      <c r="GO42" s="296"/>
      <c r="GP42" s="296"/>
      <c r="GQ42" s="296"/>
      <c r="GR42" s="296"/>
      <c r="GS42" s="296"/>
      <c r="GT42" s="296"/>
      <c r="GU42" s="296"/>
      <c r="GV42" s="296"/>
      <c r="GW42" s="296"/>
      <c r="GX42" s="296"/>
      <c r="GY42" s="296"/>
      <c r="GZ42" s="296"/>
      <c r="HA42" s="296"/>
      <c r="HB42" s="296"/>
      <c r="HC42" s="296"/>
      <c r="HD42" s="296"/>
      <c r="HE42" s="296"/>
      <c r="HF42" s="296"/>
      <c r="HG42" s="296"/>
      <c r="HH42" s="296"/>
      <c r="HI42" s="296"/>
      <c r="HJ42" s="296"/>
      <c r="HK42" s="296"/>
      <c r="HL42" s="296"/>
      <c r="HM42" s="296"/>
      <c r="HN42" s="296"/>
      <c r="HO42" s="296"/>
      <c r="HP42" s="296"/>
      <c r="HQ42" s="296"/>
      <c r="HR42" s="296"/>
      <c r="HS42" s="296"/>
      <c r="HT42" s="296"/>
      <c r="HU42" s="296"/>
      <c r="HV42" s="296"/>
      <c r="HW42" s="296"/>
      <c r="HX42" s="296"/>
      <c r="HY42" s="296"/>
      <c r="HZ42" s="296"/>
      <c r="IA42" s="296"/>
      <c r="IB42" s="296"/>
      <c r="IC42" s="296"/>
      <c r="ID42" s="296"/>
      <c r="IE42" s="296"/>
      <c r="IF42" s="296"/>
      <c r="IG42" s="296"/>
      <c r="IH42" s="296"/>
      <c r="II42" s="296"/>
      <c r="IJ42" s="296"/>
      <c r="IK42" s="296"/>
      <c r="IL42" s="296"/>
      <c r="IM42" s="296"/>
      <c r="IN42" s="296"/>
      <c r="IO42" s="296"/>
      <c r="IP42" s="296"/>
      <c r="IQ42" s="296"/>
      <c r="IR42" s="296"/>
      <c r="IS42" s="296"/>
      <c r="IT42" s="296"/>
      <c r="IU42" s="296"/>
      <c r="IV42" s="296"/>
    </row>
    <row r="43" spans="1:256" customFormat="1" ht="12.75" customHeight="1">
      <c r="A43" s="296"/>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96"/>
      <c r="DW43" s="296"/>
      <c r="DX43" s="296"/>
      <c r="DY43" s="296"/>
      <c r="DZ43" s="296"/>
      <c r="EA43" s="296"/>
      <c r="EB43" s="296"/>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6"/>
      <c r="FE43" s="296"/>
      <c r="FF43" s="296"/>
      <c r="FG43" s="296"/>
      <c r="FH43" s="296"/>
      <c r="FI43" s="296"/>
      <c r="FJ43" s="296"/>
      <c r="FK43" s="296"/>
      <c r="FL43" s="296"/>
      <c r="FM43" s="296"/>
      <c r="FN43" s="296"/>
      <c r="FO43" s="296"/>
      <c r="FP43" s="296"/>
      <c r="FQ43" s="296"/>
      <c r="FR43" s="296"/>
      <c r="FS43" s="296"/>
      <c r="FT43" s="296"/>
      <c r="FU43" s="296"/>
      <c r="FV43" s="296"/>
      <c r="FW43" s="296"/>
      <c r="FX43" s="296"/>
      <c r="FY43" s="296"/>
      <c r="FZ43" s="296"/>
      <c r="GA43" s="296"/>
      <c r="GB43" s="296"/>
      <c r="GC43" s="296"/>
      <c r="GD43" s="296"/>
      <c r="GE43" s="296"/>
      <c r="GF43" s="296"/>
      <c r="GG43" s="296"/>
      <c r="GH43" s="296"/>
      <c r="GI43" s="296"/>
      <c r="GJ43" s="296"/>
      <c r="GK43" s="296"/>
      <c r="GL43" s="296"/>
      <c r="GM43" s="296"/>
      <c r="GN43" s="296"/>
      <c r="GO43" s="296"/>
      <c r="GP43" s="296"/>
      <c r="GQ43" s="296"/>
      <c r="GR43" s="296"/>
      <c r="GS43" s="296"/>
      <c r="GT43" s="296"/>
      <c r="GU43" s="296"/>
      <c r="GV43" s="296"/>
      <c r="GW43" s="296"/>
      <c r="GX43" s="296"/>
      <c r="GY43" s="296"/>
      <c r="GZ43" s="296"/>
      <c r="HA43" s="296"/>
      <c r="HB43" s="296"/>
      <c r="HC43" s="296"/>
      <c r="HD43" s="296"/>
      <c r="HE43" s="296"/>
      <c r="HF43" s="296"/>
      <c r="HG43" s="296"/>
      <c r="HH43" s="296"/>
      <c r="HI43" s="296"/>
      <c r="HJ43" s="296"/>
      <c r="HK43" s="296"/>
      <c r="HL43" s="296"/>
      <c r="HM43" s="296"/>
      <c r="HN43" s="296"/>
      <c r="HO43" s="296"/>
      <c r="HP43" s="296"/>
      <c r="HQ43" s="296"/>
      <c r="HR43" s="296"/>
      <c r="HS43" s="296"/>
      <c r="HT43" s="296"/>
      <c r="HU43" s="296"/>
      <c r="HV43" s="296"/>
      <c r="HW43" s="296"/>
      <c r="HX43" s="296"/>
      <c r="HY43" s="296"/>
      <c r="HZ43" s="296"/>
      <c r="IA43" s="296"/>
      <c r="IB43" s="296"/>
      <c r="IC43" s="296"/>
      <c r="ID43" s="296"/>
      <c r="IE43" s="296"/>
      <c r="IF43" s="296"/>
      <c r="IG43" s="296"/>
      <c r="IH43" s="296"/>
      <c r="II43" s="296"/>
      <c r="IJ43" s="296"/>
      <c r="IK43" s="296"/>
      <c r="IL43" s="296"/>
      <c r="IM43" s="296"/>
      <c r="IN43" s="296"/>
      <c r="IO43" s="296"/>
      <c r="IP43" s="296"/>
      <c r="IQ43" s="296"/>
      <c r="IR43" s="296"/>
      <c r="IS43" s="296"/>
      <c r="IT43" s="296"/>
      <c r="IU43" s="296"/>
      <c r="IV43" s="296"/>
    </row>
    <row r="44" spans="1:256" customFormat="1" ht="12.75" customHeight="1">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c r="CA44" s="296"/>
      <c r="CB44" s="296"/>
      <c r="CC44" s="296"/>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6"/>
      <c r="DZ44" s="296"/>
      <c r="EA44" s="296"/>
      <c r="EB44" s="296"/>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G44" s="296"/>
      <c r="FH44" s="296"/>
      <c r="FI44" s="296"/>
      <c r="FJ44" s="296"/>
      <c r="FK44" s="296"/>
      <c r="FL44" s="296"/>
      <c r="FM44" s="296"/>
      <c r="FN44" s="296"/>
      <c r="FO44" s="296"/>
      <c r="FP44" s="296"/>
      <c r="FQ44" s="296"/>
      <c r="FR44" s="296"/>
      <c r="FS44" s="296"/>
      <c r="FT44" s="296"/>
      <c r="FU44" s="296"/>
      <c r="FV44" s="296"/>
      <c r="FW44" s="296"/>
      <c r="FX44" s="296"/>
      <c r="FY44" s="296"/>
      <c r="FZ44" s="296"/>
      <c r="GA44" s="296"/>
      <c r="GB44" s="296"/>
      <c r="GC44" s="296"/>
      <c r="GD44" s="296"/>
      <c r="GE44" s="296"/>
      <c r="GF44" s="296"/>
      <c r="GG44" s="296"/>
      <c r="GH44" s="296"/>
      <c r="GI44" s="296"/>
      <c r="GJ44" s="296"/>
      <c r="GK44" s="296"/>
      <c r="GL44" s="296"/>
      <c r="GM44" s="296"/>
      <c r="GN44" s="296"/>
      <c r="GO44" s="296"/>
      <c r="GP44" s="296"/>
      <c r="GQ44" s="296"/>
      <c r="GR44" s="296"/>
      <c r="GS44" s="296"/>
      <c r="GT44" s="296"/>
      <c r="GU44" s="296"/>
      <c r="GV44" s="296"/>
      <c r="GW44" s="296"/>
      <c r="GX44" s="296"/>
      <c r="GY44" s="296"/>
      <c r="GZ44" s="296"/>
      <c r="HA44" s="296"/>
      <c r="HB44" s="296"/>
      <c r="HC44" s="296"/>
      <c r="HD44" s="296"/>
      <c r="HE44" s="296"/>
      <c r="HF44" s="296"/>
      <c r="HG44" s="296"/>
      <c r="HH44" s="296"/>
      <c r="HI44" s="296"/>
      <c r="HJ44" s="296"/>
      <c r="HK44" s="296"/>
      <c r="HL44" s="296"/>
      <c r="HM44" s="296"/>
      <c r="HN44" s="296"/>
      <c r="HO44" s="296"/>
      <c r="HP44" s="296"/>
      <c r="HQ44" s="296"/>
      <c r="HR44" s="296"/>
      <c r="HS44" s="296"/>
      <c r="HT44" s="296"/>
      <c r="HU44" s="296"/>
      <c r="HV44" s="296"/>
      <c r="HW44" s="296"/>
      <c r="HX44" s="296"/>
      <c r="HY44" s="296"/>
      <c r="HZ44" s="296"/>
      <c r="IA44" s="296"/>
      <c r="IB44" s="296"/>
      <c r="IC44" s="296"/>
      <c r="ID44" s="296"/>
      <c r="IE44" s="296"/>
      <c r="IF44" s="296"/>
      <c r="IG44" s="296"/>
      <c r="IH44" s="296"/>
      <c r="II44" s="296"/>
      <c r="IJ44" s="296"/>
      <c r="IK44" s="296"/>
      <c r="IL44" s="296"/>
      <c r="IM44" s="296"/>
      <c r="IN44" s="296"/>
      <c r="IO44" s="296"/>
      <c r="IP44" s="296"/>
      <c r="IQ44" s="296"/>
      <c r="IR44" s="296"/>
      <c r="IS44" s="296"/>
      <c r="IT44" s="296"/>
      <c r="IU44" s="296"/>
      <c r="IV44" s="296"/>
    </row>
    <row r="45" spans="1:256" customFormat="1" ht="12.7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c r="CA45" s="296"/>
      <c r="CB45" s="296"/>
      <c r="CC45" s="296"/>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96"/>
      <c r="FF45" s="296"/>
      <c r="FG45" s="296"/>
      <c r="FH45" s="296"/>
      <c r="FI45" s="296"/>
      <c r="FJ45" s="296"/>
      <c r="FK45" s="296"/>
      <c r="FL45" s="296"/>
      <c r="FM45" s="296"/>
      <c r="FN45" s="296"/>
      <c r="FO45" s="296"/>
      <c r="FP45" s="296"/>
      <c r="FQ45" s="296"/>
      <c r="FR45" s="296"/>
      <c r="FS45" s="296"/>
      <c r="FT45" s="296"/>
      <c r="FU45" s="296"/>
      <c r="FV45" s="296"/>
      <c r="FW45" s="296"/>
      <c r="FX45" s="296"/>
      <c r="FY45" s="296"/>
      <c r="FZ45" s="296"/>
      <c r="GA45" s="296"/>
      <c r="GB45" s="296"/>
      <c r="GC45" s="296"/>
      <c r="GD45" s="296"/>
      <c r="GE45" s="296"/>
      <c r="GF45" s="296"/>
      <c r="GG45" s="296"/>
      <c r="GH45" s="296"/>
      <c r="GI45" s="296"/>
      <c r="GJ45" s="296"/>
      <c r="GK45" s="296"/>
      <c r="GL45" s="296"/>
      <c r="GM45" s="296"/>
      <c r="GN45" s="296"/>
      <c r="GO45" s="296"/>
      <c r="GP45" s="296"/>
      <c r="GQ45" s="296"/>
      <c r="GR45" s="296"/>
      <c r="GS45" s="296"/>
      <c r="GT45" s="296"/>
      <c r="GU45" s="296"/>
      <c r="GV45" s="296"/>
      <c r="GW45" s="296"/>
      <c r="GX45" s="296"/>
      <c r="GY45" s="296"/>
      <c r="GZ45" s="296"/>
      <c r="HA45" s="296"/>
      <c r="HB45" s="296"/>
      <c r="HC45" s="296"/>
      <c r="HD45" s="296"/>
      <c r="HE45" s="296"/>
      <c r="HF45" s="296"/>
      <c r="HG45" s="296"/>
      <c r="HH45" s="296"/>
      <c r="HI45" s="296"/>
      <c r="HJ45" s="296"/>
      <c r="HK45" s="296"/>
      <c r="HL45" s="296"/>
      <c r="HM45" s="296"/>
      <c r="HN45" s="296"/>
      <c r="HO45" s="296"/>
      <c r="HP45" s="296"/>
      <c r="HQ45" s="296"/>
      <c r="HR45" s="296"/>
      <c r="HS45" s="296"/>
      <c r="HT45" s="296"/>
      <c r="HU45" s="296"/>
      <c r="HV45" s="296"/>
      <c r="HW45" s="296"/>
      <c r="HX45" s="296"/>
      <c r="HY45" s="296"/>
      <c r="HZ45" s="296"/>
      <c r="IA45" s="296"/>
      <c r="IB45" s="296"/>
      <c r="IC45" s="296"/>
      <c r="ID45" s="296"/>
      <c r="IE45" s="296"/>
      <c r="IF45" s="296"/>
      <c r="IG45" s="296"/>
      <c r="IH45" s="296"/>
      <c r="II45" s="296"/>
      <c r="IJ45" s="296"/>
      <c r="IK45" s="296"/>
      <c r="IL45" s="296"/>
      <c r="IM45" s="296"/>
      <c r="IN45" s="296"/>
      <c r="IO45" s="296"/>
      <c r="IP45" s="296"/>
      <c r="IQ45" s="296"/>
      <c r="IR45" s="296"/>
      <c r="IS45" s="296"/>
      <c r="IT45" s="296"/>
      <c r="IU45" s="296"/>
      <c r="IV45" s="296"/>
    </row>
    <row r="46" spans="1:256" customFormat="1" ht="12.7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296"/>
      <c r="DJ46" s="296"/>
      <c r="DK46" s="296"/>
      <c r="DL46" s="296"/>
      <c r="DM46" s="296"/>
      <c r="DN46" s="296"/>
      <c r="DO46" s="296"/>
      <c r="DP46" s="296"/>
      <c r="DQ46" s="296"/>
      <c r="DR46" s="296"/>
      <c r="DS46" s="296"/>
      <c r="DT46" s="296"/>
      <c r="DU46" s="296"/>
      <c r="DV46" s="296"/>
      <c r="DW46" s="296"/>
      <c r="DX46" s="296"/>
      <c r="DY46" s="296"/>
      <c r="DZ46" s="296"/>
      <c r="EA46" s="296"/>
      <c r="EB46" s="296"/>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96"/>
      <c r="FF46" s="296"/>
      <c r="FG46" s="296"/>
      <c r="FH46" s="296"/>
      <c r="FI46" s="296"/>
      <c r="FJ46" s="296"/>
      <c r="FK46" s="296"/>
      <c r="FL46" s="296"/>
      <c r="FM46" s="296"/>
      <c r="FN46" s="296"/>
      <c r="FO46" s="296"/>
      <c r="FP46" s="296"/>
      <c r="FQ46" s="296"/>
      <c r="FR46" s="296"/>
      <c r="FS46" s="296"/>
      <c r="FT46" s="296"/>
      <c r="FU46" s="296"/>
      <c r="FV46" s="296"/>
      <c r="FW46" s="296"/>
      <c r="FX46" s="296"/>
      <c r="FY46" s="296"/>
      <c r="FZ46" s="296"/>
      <c r="GA46" s="296"/>
      <c r="GB46" s="296"/>
      <c r="GC46" s="296"/>
      <c r="GD46" s="296"/>
      <c r="GE46" s="296"/>
      <c r="GF46" s="296"/>
      <c r="GG46" s="296"/>
      <c r="GH46" s="296"/>
      <c r="GI46" s="296"/>
      <c r="GJ46" s="296"/>
      <c r="GK46" s="296"/>
      <c r="GL46" s="296"/>
      <c r="GM46" s="296"/>
      <c r="GN46" s="296"/>
      <c r="GO46" s="296"/>
      <c r="GP46" s="296"/>
      <c r="GQ46" s="296"/>
      <c r="GR46" s="296"/>
      <c r="GS46" s="296"/>
      <c r="GT46" s="296"/>
      <c r="GU46" s="296"/>
      <c r="GV46" s="296"/>
      <c r="GW46" s="296"/>
      <c r="GX46" s="296"/>
      <c r="GY46" s="296"/>
      <c r="GZ46" s="296"/>
      <c r="HA46" s="296"/>
      <c r="HB46" s="296"/>
      <c r="HC46" s="296"/>
      <c r="HD46" s="296"/>
      <c r="HE46" s="296"/>
      <c r="HF46" s="296"/>
      <c r="HG46" s="296"/>
      <c r="HH46" s="296"/>
      <c r="HI46" s="296"/>
      <c r="HJ46" s="296"/>
      <c r="HK46" s="296"/>
      <c r="HL46" s="296"/>
      <c r="HM46" s="296"/>
      <c r="HN46" s="296"/>
      <c r="HO46" s="296"/>
      <c r="HP46" s="296"/>
      <c r="HQ46" s="296"/>
      <c r="HR46" s="296"/>
      <c r="HS46" s="296"/>
      <c r="HT46" s="296"/>
      <c r="HU46" s="296"/>
      <c r="HV46" s="296"/>
      <c r="HW46" s="296"/>
      <c r="HX46" s="296"/>
      <c r="HY46" s="296"/>
      <c r="HZ46" s="296"/>
      <c r="IA46" s="296"/>
      <c r="IB46" s="296"/>
      <c r="IC46" s="296"/>
      <c r="ID46" s="296"/>
      <c r="IE46" s="296"/>
      <c r="IF46" s="296"/>
      <c r="IG46" s="296"/>
      <c r="IH46" s="296"/>
      <c r="II46" s="296"/>
      <c r="IJ46" s="296"/>
      <c r="IK46" s="296"/>
      <c r="IL46" s="296"/>
      <c r="IM46" s="296"/>
      <c r="IN46" s="296"/>
      <c r="IO46" s="296"/>
      <c r="IP46" s="296"/>
      <c r="IQ46" s="296"/>
      <c r="IR46" s="296"/>
      <c r="IS46" s="296"/>
      <c r="IT46" s="296"/>
      <c r="IU46" s="296"/>
      <c r="IV46" s="296"/>
    </row>
    <row r="47" spans="1:256" customFormat="1" ht="12.7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c r="CA47" s="296"/>
      <c r="CB47" s="296"/>
      <c r="CC47" s="296"/>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296"/>
      <c r="DJ47" s="296"/>
      <c r="DK47" s="296"/>
      <c r="DL47" s="296"/>
      <c r="DM47" s="296"/>
      <c r="DN47" s="296"/>
      <c r="DO47" s="296"/>
      <c r="DP47" s="296"/>
      <c r="DQ47" s="296"/>
      <c r="DR47" s="296"/>
      <c r="DS47" s="296"/>
      <c r="DT47" s="296"/>
      <c r="DU47" s="296"/>
      <c r="DV47" s="296"/>
      <c r="DW47" s="296"/>
      <c r="DX47" s="296"/>
      <c r="DY47" s="296"/>
      <c r="DZ47" s="296"/>
      <c r="EA47" s="296"/>
      <c r="EB47" s="296"/>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c r="FG47" s="296"/>
      <c r="FH47" s="296"/>
      <c r="FI47" s="296"/>
      <c r="FJ47" s="296"/>
      <c r="FK47" s="296"/>
      <c r="FL47" s="296"/>
      <c r="FM47" s="296"/>
      <c r="FN47" s="296"/>
      <c r="FO47" s="296"/>
      <c r="FP47" s="296"/>
      <c r="FQ47" s="296"/>
      <c r="FR47" s="296"/>
      <c r="FS47" s="296"/>
      <c r="FT47" s="296"/>
      <c r="FU47" s="296"/>
      <c r="FV47" s="296"/>
      <c r="FW47" s="296"/>
      <c r="FX47" s="296"/>
      <c r="FY47" s="296"/>
      <c r="FZ47" s="296"/>
      <c r="GA47" s="296"/>
      <c r="GB47" s="296"/>
      <c r="GC47" s="296"/>
      <c r="GD47" s="296"/>
      <c r="GE47" s="296"/>
      <c r="GF47" s="296"/>
      <c r="GG47" s="296"/>
      <c r="GH47" s="296"/>
      <c r="GI47" s="296"/>
      <c r="GJ47" s="296"/>
      <c r="GK47" s="296"/>
      <c r="GL47" s="296"/>
      <c r="GM47" s="296"/>
      <c r="GN47" s="296"/>
      <c r="GO47" s="296"/>
      <c r="GP47" s="296"/>
      <c r="GQ47" s="296"/>
      <c r="GR47" s="296"/>
      <c r="GS47" s="296"/>
      <c r="GT47" s="296"/>
      <c r="GU47" s="296"/>
      <c r="GV47" s="296"/>
      <c r="GW47" s="296"/>
      <c r="GX47" s="296"/>
      <c r="GY47" s="296"/>
      <c r="GZ47" s="296"/>
      <c r="HA47" s="296"/>
      <c r="HB47" s="296"/>
      <c r="HC47" s="296"/>
      <c r="HD47" s="296"/>
      <c r="HE47" s="296"/>
      <c r="HF47" s="296"/>
      <c r="HG47" s="296"/>
      <c r="HH47" s="296"/>
      <c r="HI47" s="296"/>
      <c r="HJ47" s="296"/>
      <c r="HK47" s="296"/>
      <c r="HL47" s="296"/>
      <c r="HM47" s="296"/>
      <c r="HN47" s="296"/>
      <c r="HO47" s="296"/>
      <c r="HP47" s="296"/>
      <c r="HQ47" s="296"/>
      <c r="HR47" s="296"/>
      <c r="HS47" s="296"/>
      <c r="HT47" s="296"/>
      <c r="HU47" s="296"/>
      <c r="HV47" s="296"/>
      <c r="HW47" s="296"/>
      <c r="HX47" s="296"/>
      <c r="HY47" s="296"/>
      <c r="HZ47" s="296"/>
      <c r="IA47" s="296"/>
      <c r="IB47" s="296"/>
      <c r="IC47" s="296"/>
      <c r="ID47" s="296"/>
      <c r="IE47" s="296"/>
      <c r="IF47" s="296"/>
      <c r="IG47" s="296"/>
      <c r="IH47" s="296"/>
      <c r="II47" s="296"/>
      <c r="IJ47" s="296"/>
      <c r="IK47" s="296"/>
      <c r="IL47" s="296"/>
      <c r="IM47" s="296"/>
      <c r="IN47" s="296"/>
      <c r="IO47" s="296"/>
      <c r="IP47" s="296"/>
      <c r="IQ47" s="296"/>
      <c r="IR47" s="296"/>
      <c r="IS47" s="296"/>
      <c r="IT47" s="296"/>
      <c r="IU47" s="296"/>
      <c r="IV47" s="296"/>
    </row>
    <row r="48" spans="1:256" customFormat="1" ht="12.7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c r="CA48" s="296"/>
      <c r="CB48" s="296"/>
      <c r="CC48" s="296"/>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296"/>
      <c r="DV48" s="296"/>
      <c r="DW48" s="296"/>
      <c r="DX48" s="296"/>
      <c r="DY48" s="296"/>
      <c r="DZ48" s="296"/>
      <c r="EA48" s="296"/>
      <c r="EB48" s="296"/>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6"/>
      <c r="FA48" s="296"/>
      <c r="FB48" s="296"/>
      <c r="FC48" s="296"/>
      <c r="FD48" s="296"/>
      <c r="FE48" s="296"/>
      <c r="FF48" s="296"/>
      <c r="FG48" s="296"/>
      <c r="FH48" s="296"/>
      <c r="FI48" s="296"/>
      <c r="FJ48" s="296"/>
      <c r="FK48" s="296"/>
      <c r="FL48" s="296"/>
      <c r="FM48" s="296"/>
      <c r="FN48" s="296"/>
      <c r="FO48" s="296"/>
      <c r="FP48" s="296"/>
      <c r="FQ48" s="296"/>
      <c r="FR48" s="296"/>
      <c r="FS48" s="296"/>
      <c r="FT48" s="296"/>
      <c r="FU48" s="296"/>
      <c r="FV48" s="296"/>
      <c r="FW48" s="296"/>
      <c r="FX48" s="296"/>
      <c r="FY48" s="296"/>
      <c r="FZ48" s="296"/>
      <c r="GA48" s="296"/>
      <c r="GB48" s="296"/>
      <c r="GC48" s="296"/>
      <c r="GD48" s="296"/>
      <c r="GE48" s="296"/>
      <c r="GF48" s="296"/>
      <c r="GG48" s="296"/>
      <c r="GH48" s="296"/>
      <c r="GI48" s="296"/>
      <c r="GJ48" s="296"/>
      <c r="GK48" s="296"/>
      <c r="GL48" s="296"/>
      <c r="GM48" s="296"/>
      <c r="GN48" s="296"/>
      <c r="GO48" s="296"/>
      <c r="GP48" s="296"/>
      <c r="GQ48" s="296"/>
      <c r="GR48" s="296"/>
      <c r="GS48" s="296"/>
      <c r="GT48" s="296"/>
      <c r="GU48" s="296"/>
      <c r="GV48" s="296"/>
      <c r="GW48" s="296"/>
      <c r="GX48" s="296"/>
      <c r="GY48" s="296"/>
      <c r="GZ48" s="296"/>
      <c r="HA48" s="296"/>
      <c r="HB48" s="296"/>
      <c r="HC48" s="296"/>
      <c r="HD48" s="296"/>
      <c r="HE48" s="296"/>
      <c r="HF48" s="296"/>
      <c r="HG48" s="296"/>
      <c r="HH48" s="296"/>
      <c r="HI48" s="296"/>
      <c r="HJ48" s="296"/>
      <c r="HK48" s="296"/>
      <c r="HL48" s="296"/>
      <c r="HM48" s="296"/>
      <c r="HN48" s="296"/>
      <c r="HO48" s="296"/>
      <c r="HP48" s="296"/>
      <c r="HQ48" s="296"/>
      <c r="HR48" s="296"/>
      <c r="HS48" s="296"/>
      <c r="HT48" s="296"/>
      <c r="HU48" s="296"/>
      <c r="HV48" s="296"/>
      <c r="HW48" s="296"/>
      <c r="HX48" s="296"/>
      <c r="HY48" s="296"/>
      <c r="HZ48" s="296"/>
      <c r="IA48" s="296"/>
      <c r="IB48" s="296"/>
      <c r="IC48" s="296"/>
      <c r="ID48" s="296"/>
      <c r="IE48" s="296"/>
      <c r="IF48" s="296"/>
      <c r="IG48" s="296"/>
      <c r="IH48" s="296"/>
      <c r="II48" s="296"/>
      <c r="IJ48" s="296"/>
      <c r="IK48" s="296"/>
      <c r="IL48" s="296"/>
      <c r="IM48" s="296"/>
      <c r="IN48" s="296"/>
      <c r="IO48" s="296"/>
      <c r="IP48" s="296"/>
      <c r="IQ48" s="296"/>
      <c r="IR48" s="296"/>
      <c r="IS48" s="296"/>
      <c r="IT48" s="296"/>
      <c r="IU48" s="296"/>
      <c r="IV48" s="296"/>
    </row>
    <row r="49" spans="1:256" customFormat="1" ht="12.75"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296"/>
      <c r="FF49" s="296"/>
      <c r="FG49" s="296"/>
      <c r="FH49" s="296"/>
      <c r="FI49" s="296"/>
      <c r="FJ49" s="296"/>
      <c r="FK49" s="296"/>
      <c r="FL49" s="296"/>
      <c r="FM49" s="296"/>
      <c r="FN49" s="296"/>
      <c r="FO49" s="296"/>
      <c r="FP49" s="296"/>
      <c r="FQ49" s="296"/>
      <c r="FR49" s="296"/>
      <c r="FS49" s="296"/>
      <c r="FT49" s="296"/>
      <c r="FU49" s="296"/>
      <c r="FV49" s="296"/>
      <c r="FW49" s="296"/>
      <c r="FX49" s="296"/>
      <c r="FY49" s="296"/>
      <c r="FZ49" s="296"/>
      <c r="GA49" s="296"/>
      <c r="GB49" s="296"/>
      <c r="GC49" s="296"/>
      <c r="GD49" s="296"/>
      <c r="GE49" s="296"/>
      <c r="GF49" s="296"/>
      <c r="GG49" s="296"/>
      <c r="GH49" s="296"/>
      <c r="GI49" s="296"/>
      <c r="GJ49" s="296"/>
      <c r="GK49" s="296"/>
      <c r="GL49" s="296"/>
      <c r="GM49" s="296"/>
      <c r="GN49" s="296"/>
      <c r="GO49" s="296"/>
      <c r="GP49" s="296"/>
      <c r="GQ49" s="296"/>
      <c r="GR49" s="296"/>
      <c r="GS49" s="296"/>
      <c r="GT49" s="296"/>
      <c r="GU49" s="296"/>
      <c r="GV49" s="296"/>
      <c r="GW49" s="296"/>
      <c r="GX49" s="296"/>
      <c r="GY49" s="296"/>
      <c r="GZ49" s="296"/>
      <c r="HA49" s="296"/>
      <c r="HB49" s="296"/>
      <c r="HC49" s="296"/>
      <c r="HD49" s="296"/>
      <c r="HE49" s="296"/>
      <c r="HF49" s="296"/>
      <c r="HG49" s="296"/>
      <c r="HH49" s="296"/>
      <c r="HI49" s="296"/>
      <c r="HJ49" s="296"/>
      <c r="HK49" s="296"/>
      <c r="HL49" s="296"/>
      <c r="HM49" s="296"/>
      <c r="HN49" s="296"/>
      <c r="HO49" s="296"/>
      <c r="HP49" s="296"/>
      <c r="HQ49" s="296"/>
      <c r="HR49" s="296"/>
      <c r="HS49" s="296"/>
      <c r="HT49" s="296"/>
      <c r="HU49" s="296"/>
      <c r="HV49" s="296"/>
      <c r="HW49" s="296"/>
      <c r="HX49" s="296"/>
      <c r="HY49" s="296"/>
      <c r="HZ49" s="296"/>
      <c r="IA49" s="296"/>
      <c r="IB49" s="296"/>
      <c r="IC49" s="296"/>
      <c r="ID49" s="296"/>
      <c r="IE49" s="296"/>
      <c r="IF49" s="296"/>
      <c r="IG49" s="296"/>
      <c r="IH49" s="296"/>
      <c r="II49" s="296"/>
      <c r="IJ49" s="296"/>
      <c r="IK49" s="296"/>
      <c r="IL49" s="296"/>
      <c r="IM49" s="296"/>
      <c r="IN49" s="296"/>
      <c r="IO49" s="296"/>
      <c r="IP49" s="296"/>
      <c r="IQ49" s="296"/>
      <c r="IR49" s="296"/>
      <c r="IS49" s="296"/>
      <c r="IT49" s="296"/>
      <c r="IU49" s="296"/>
      <c r="IV49" s="296"/>
    </row>
    <row r="50" spans="1:256" customFormat="1" ht="12.75" customHeight="1">
      <c r="A50" s="296"/>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96"/>
      <c r="DW50" s="296"/>
      <c r="DX50" s="296"/>
      <c r="DY50" s="296"/>
      <c r="DZ50" s="296"/>
      <c r="EA50" s="296"/>
      <c r="EB50" s="296"/>
      <c r="EC50" s="296"/>
      <c r="ED50" s="296"/>
      <c r="EE50" s="296"/>
      <c r="EF50" s="296"/>
      <c r="EG50" s="296"/>
      <c r="EH50" s="296"/>
      <c r="EI50" s="296"/>
      <c r="EJ50" s="296"/>
      <c r="EK50" s="296"/>
      <c r="EL50" s="296"/>
      <c r="EM50" s="296"/>
      <c r="EN50" s="296"/>
      <c r="EO50" s="296"/>
      <c r="EP50" s="296"/>
      <c r="EQ50" s="296"/>
      <c r="ER50" s="296"/>
      <c r="ES50" s="296"/>
      <c r="ET50" s="296"/>
      <c r="EU50" s="296"/>
      <c r="EV50" s="296"/>
      <c r="EW50" s="296"/>
      <c r="EX50" s="296"/>
      <c r="EY50" s="296"/>
      <c r="EZ50" s="296"/>
      <c r="FA50" s="296"/>
      <c r="FB50" s="296"/>
      <c r="FC50" s="296"/>
      <c r="FD50" s="296"/>
      <c r="FE50" s="296"/>
      <c r="FF50" s="296"/>
      <c r="FG50" s="296"/>
      <c r="FH50" s="296"/>
      <c r="FI50" s="296"/>
      <c r="FJ50" s="296"/>
      <c r="FK50" s="296"/>
      <c r="FL50" s="296"/>
      <c r="FM50" s="296"/>
      <c r="FN50" s="296"/>
      <c r="FO50" s="296"/>
      <c r="FP50" s="296"/>
      <c r="FQ50" s="296"/>
      <c r="FR50" s="296"/>
      <c r="FS50" s="296"/>
      <c r="FT50" s="296"/>
      <c r="FU50" s="296"/>
      <c r="FV50" s="296"/>
      <c r="FW50" s="296"/>
      <c r="FX50" s="296"/>
      <c r="FY50" s="296"/>
      <c r="FZ50" s="296"/>
      <c r="GA50" s="296"/>
      <c r="GB50" s="296"/>
      <c r="GC50" s="296"/>
      <c r="GD50" s="296"/>
      <c r="GE50" s="296"/>
      <c r="GF50" s="296"/>
      <c r="GG50" s="296"/>
      <c r="GH50" s="296"/>
      <c r="GI50" s="296"/>
      <c r="GJ50" s="296"/>
      <c r="GK50" s="296"/>
      <c r="GL50" s="296"/>
      <c r="GM50" s="296"/>
      <c r="GN50" s="296"/>
      <c r="GO50" s="296"/>
      <c r="GP50" s="296"/>
      <c r="GQ50" s="296"/>
      <c r="GR50" s="296"/>
      <c r="GS50" s="296"/>
      <c r="GT50" s="296"/>
      <c r="GU50" s="296"/>
      <c r="GV50" s="296"/>
      <c r="GW50" s="296"/>
      <c r="GX50" s="296"/>
      <c r="GY50" s="296"/>
      <c r="GZ50" s="296"/>
      <c r="HA50" s="296"/>
      <c r="HB50" s="296"/>
      <c r="HC50" s="296"/>
      <c r="HD50" s="296"/>
      <c r="HE50" s="296"/>
      <c r="HF50" s="296"/>
      <c r="HG50" s="296"/>
      <c r="HH50" s="296"/>
      <c r="HI50" s="296"/>
      <c r="HJ50" s="296"/>
      <c r="HK50" s="296"/>
      <c r="HL50" s="296"/>
      <c r="HM50" s="296"/>
      <c r="HN50" s="296"/>
      <c r="HO50" s="296"/>
      <c r="HP50" s="296"/>
      <c r="HQ50" s="296"/>
      <c r="HR50" s="296"/>
      <c r="HS50" s="296"/>
      <c r="HT50" s="296"/>
      <c r="HU50" s="296"/>
      <c r="HV50" s="296"/>
      <c r="HW50" s="296"/>
      <c r="HX50" s="296"/>
      <c r="HY50" s="296"/>
      <c r="HZ50" s="296"/>
      <c r="IA50" s="296"/>
      <c r="IB50" s="296"/>
      <c r="IC50" s="296"/>
      <c r="ID50" s="296"/>
      <c r="IE50" s="296"/>
      <c r="IF50" s="296"/>
      <c r="IG50" s="296"/>
      <c r="IH50" s="296"/>
      <c r="II50" s="296"/>
      <c r="IJ50" s="296"/>
      <c r="IK50" s="296"/>
      <c r="IL50" s="296"/>
      <c r="IM50" s="296"/>
      <c r="IN50" s="296"/>
      <c r="IO50" s="296"/>
      <c r="IP50" s="296"/>
      <c r="IQ50" s="296"/>
      <c r="IR50" s="296"/>
      <c r="IS50" s="296"/>
      <c r="IT50" s="296"/>
      <c r="IU50" s="296"/>
      <c r="IV50" s="296"/>
    </row>
    <row r="51" spans="1:256" customFormat="1" ht="12.75" customHeight="1">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96"/>
      <c r="DW51" s="296"/>
      <c r="DX51" s="296"/>
      <c r="DY51" s="296"/>
      <c r="DZ51" s="296"/>
      <c r="EA51" s="296"/>
      <c r="EB51" s="296"/>
      <c r="EC51" s="296"/>
      <c r="ED51" s="296"/>
      <c r="EE51" s="296"/>
      <c r="EF51" s="296"/>
      <c r="EG51" s="296"/>
      <c r="EH51" s="296"/>
      <c r="EI51" s="296"/>
      <c r="EJ51" s="296"/>
      <c r="EK51" s="296"/>
      <c r="EL51" s="296"/>
      <c r="EM51" s="296"/>
      <c r="EN51" s="296"/>
      <c r="EO51" s="296"/>
      <c r="EP51" s="296"/>
      <c r="EQ51" s="296"/>
      <c r="ER51" s="296"/>
      <c r="ES51" s="296"/>
      <c r="ET51" s="296"/>
      <c r="EU51" s="296"/>
      <c r="EV51" s="296"/>
      <c r="EW51" s="296"/>
      <c r="EX51" s="296"/>
      <c r="EY51" s="296"/>
      <c r="EZ51" s="296"/>
      <c r="FA51" s="296"/>
      <c r="FB51" s="296"/>
      <c r="FC51" s="296"/>
      <c r="FD51" s="296"/>
      <c r="FE51" s="296"/>
      <c r="FF51" s="296"/>
      <c r="FG51" s="296"/>
      <c r="FH51" s="296"/>
      <c r="FI51" s="296"/>
      <c r="FJ51" s="296"/>
      <c r="FK51" s="296"/>
      <c r="FL51" s="296"/>
      <c r="FM51" s="296"/>
      <c r="FN51" s="296"/>
      <c r="FO51" s="296"/>
      <c r="FP51" s="296"/>
      <c r="FQ51" s="296"/>
      <c r="FR51" s="296"/>
      <c r="FS51" s="296"/>
      <c r="FT51" s="296"/>
      <c r="FU51" s="296"/>
      <c r="FV51" s="296"/>
      <c r="FW51" s="296"/>
      <c r="FX51" s="296"/>
      <c r="FY51" s="296"/>
      <c r="FZ51" s="296"/>
      <c r="GA51" s="296"/>
      <c r="GB51" s="296"/>
      <c r="GC51" s="296"/>
      <c r="GD51" s="296"/>
      <c r="GE51" s="296"/>
      <c r="GF51" s="296"/>
      <c r="GG51" s="296"/>
      <c r="GH51" s="296"/>
      <c r="GI51" s="296"/>
      <c r="GJ51" s="296"/>
      <c r="GK51" s="296"/>
      <c r="GL51" s="296"/>
      <c r="GM51" s="296"/>
      <c r="GN51" s="296"/>
      <c r="GO51" s="296"/>
      <c r="GP51" s="296"/>
      <c r="GQ51" s="296"/>
      <c r="GR51" s="296"/>
      <c r="GS51" s="296"/>
      <c r="GT51" s="296"/>
      <c r="GU51" s="296"/>
      <c r="GV51" s="296"/>
      <c r="GW51" s="296"/>
      <c r="GX51" s="296"/>
      <c r="GY51" s="296"/>
      <c r="GZ51" s="296"/>
      <c r="HA51" s="296"/>
      <c r="HB51" s="296"/>
      <c r="HC51" s="296"/>
      <c r="HD51" s="296"/>
      <c r="HE51" s="296"/>
      <c r="HF51" s="296"/>
      <c r="HG51" s="296"/>
      <c r="HH51" s="296"/>
      <c r="HI51" s="296"/>
      <c r="HJ51" s="296"/>
      <c r="HK51" s="296"/>
      <c r="HL51" s="296"/>
      <c r="HM51" s="296"/>
      <c r="HN51" s="296"/>
      <c r="HO51" s="296"/>
      <c r="HP51" s="296"/>
      <c r="HQ51" s="296"/>
      <c r="HR51" s="296"/>
      <c r="HS51" s="296"/>
      <c r="HT51" s="296"/>
      <c r="HU51" s="296"/>
      <c r="HV51" s="296"/>
      <c r="HW51" s="296"/>
      <c r="HX51" s="296"/>
      <c r="HY51" s="296"/>
      <c r="HZ51" s="296"/>
      <c r="IA51" s="296"/>
      <c r="IB51" s="296"/>
      <c r="IC51" s="296"/>
      <c r="ID51" s="296"/>
      <c r="IE51" s="296"/>
      <c r="IF51" s="296"/>
      <c r="IG51" s="296"/>
      <c r="IH51" s="296"/>
      <c r="II51" s="296"/>
      <c r="IJ51" s="296"/>
      <c r="IK51" s="296"/>
      <c r="IL51" s="296"/>
      <c r="IM51" s="296"/>
      <c r="IN51" s="296"/>
      <c r="IO51" s="296"/>
      <c r="IP51" s="296"/>
      <c r="IQ51" s="296"/>
      <c r="IR51" s="296"/>
      <c r="IS51" s="296"/>
      <c r="IT51" s="296"/>
      <c r="IU51" s="296"/>
      <c r="IV51" s="296"/>
    </row>
    <row r="52" spans="1:256" customFormat="1" ht="12.75" customHeight="1">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96"/>
      <c r="DW52" s="296"/>
      <c r="DX52" s="296"/>
      <c r="DY52" s="296"/>
      <c r="DZ52" s="296"/>
      <c r="EA52" s="296"/>
      <c r="EB52" s="296"/>
      <c r="EC52" s="296"/>
      <c r="ED52" s="296"/>
      <c r="EE52" s="296"/>
      <c r="EF52" s="296"/>
      <c r="EG52" s="296"/>
      <c r="EH52" s="296"/>
      <c r="EI52" s="296"/>
      <c r="EJ52" s="296"/>
      <c r="EK52" s="296"/>
      <c r="EL52" s="296"/>
      <c r="EM52" s="296"/>
      <c r="EN52" s="296"/>
      <c r="EO52" s="296"/>
      <c r="EP52" s="296"/>
      <c r="EQ52" s="296"/>
      <c r="ER52" s="296"/>
      <c r="ES52" s="296"/>
      <c r="ET52" s="296"/>
      <c r="EU52" s="296"/>
      <c r="EV52" s="296"/>
      <c r="EW52" s="296"/>
      <c r="EX52" s="296"/>
      <c r="EY52" s="296"/>
      <c r="EZ52" s="296"/>
      <c r="FA52" s="296"/>
      <c r="FB52" s="296"/>
      <c r="FC52" s="296"/>
      <c r="FD52" s="296"/>
      <c r="FE52" s="296"/>
      <c r="FF52" s="296"/>
      <c r="FG52" s="296"/>
      <c r="FH52" s="296"/>
      <c r="FI52" s="296"/>
      <c r="FJ52" s="296"/>
      <c r="FK52" s="296"/>
      <c r="FL52" s="296"/>
      <c r="FM52" s="296"/>
      <c r="FN52" s="296"/>
      <c r="FO52" s="296"/>
      <c r="FP52" s="296"/>
      <c r="FQ52" s="296"/>
      <c r="FR52" s="296"/>
      <c r="FS52" s="296"/>
      <c r="FT52" s="296"/>
      <c r="FU52" s="296"/>
      <c r="FV52" s="296"/>
      <c r="FW52" s="296"/>
      <c r="FX52" s="296"/>
      <c r="FY52" s="296"/>
      <c r="FZ52" s="296"/>
      <c r="GA52" s="296"/>
      <c r="GB52" s="296"/>
      <c r="GC52" s="296"/>
      <c r="GD52" s="296"/>
      <c r="GE52" s="296"/>
      <c r="GF52" s="296"/>
      <c r="GG52" s="296"/>
      <c r="GH52" s="296"/>
      <c r="GI52" s="296"/>
      <c r="GJ52" s="296"/>
      <c r="GK52" s="296"/>
      <c r="GL52" s="296"/>
      <c r="GM52" s="296"/>
      <c r="GN52" s="296"/>
      <c r="GO52" s="296"/>
      <c r="GP52" s="296"/>
      <c r="GQ52" s="296"/>
      <c r="GR52" s="296"/>
      <c r="GS52" s="296"/>
      <c r="GT52" s="296"/>
      <c r="GU52" s="296"/>
      <c r="GV52" s="296"/>
      <c r="GW52" s="296"/>
      <c r="GX52" s="296"/>
      <c r="GY52" s="296"/>
      <c r="GZ52" s="296"/>
      <c r="HA52" s="296"/>
      <c r="HB52" s="296"/>
      <c r="HC52" s="296"/>
      <c r="HD52" s="296"/>
      <c r="HE52" s="296"/>
      <c r="HF52" s="296"/>
      <c r="HG52" s="296"/>
      <c r="HH52" s="296"/>
      <c r="HI52" s="296"/>
      <c r="HJ52" s="296"/>
      <c r="HK52" s="296"/>
      <c r="HL52" s="296"/>
      <c r="HM52" s="296"/>
      <c r="HN52" s="296"/>
      <c r="HO52" s="296"/>
      <c r="HP52" s="296"/>
      <c r="HQ52" s="296"/>
      <c r="HR52" s="296"/>
      <c r="HS52" s="296"/>
      <c r="HT52" s="296"/>
      <c r="HU52" s="296"/>
      <c r="HV52" s="296"/>
      <c r="HW52" s="296"/>
      <c r="HX52" s="296"/>
      <c r="HY52" s="296"/>
      <c r="HZ52" s="296"/>
      <c r="IA52" s="296"/>
      <c r="IB52" s="296"/>
      <c r="IC52" s="296"/>
      <c r="ID52" s="296"/>
      <c r="IE52" s="296"/>
      <c r="IF52" s="296"/>
      <c r="IG52" s="296"/>
      <c r="IH52" s="296"/>
      <c r="II52" s="296"/>
      <c r="IJ52" s="296"/>
      <c r="IK52" s="296"/>
      <c r="IL52" s="296"/>
      <c r="IM52" s="296"/>
      <c r="IN52" s="296"/>
      <c r="IO52" s="296"/>
      <c r="IP52" s="296"/>
      <c r="IQ52" s="296"/>
      <c r="IR52" s="296"/>
      <c r="IS52" s="296"/>
      <c r="IT52" s="296"/>
      <c r="IU52" s="296"/>
      <c r="IV52" s="296"/>
    </row>
    <row r="53" spans="1:256" customFormat="1" ht="12.75" customHeight="1">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6"/>
      <c r="EJ53" s="296"/>
      <c r="EK53" s="296"/>
      <c r="EL53" s="296"/>
      <c r="EM53" s="296"/>
      <c r="EN53" s="296"/>
      <c r="EO53" s="296"/>
      <c r="EP53" s="296"/>
      <c r="EQ53" s="296"/>
      <c r="ER53" s="296"/>
      <c r="ES53" s="296"/>
      <c r="ET53" s="296"/>
      <c r="EU53" s="296"/>
      <c r="EV53" s="296"/>
      <c r="EW53" s="296"/>
      <c r="EX53" s="296"/>
      <c r="EY53" s="296"/>
      <c r="EZ53" s="296"/>
      <c r="FA53" s="296"/>
      <c r="FB53" s="296"/>
      <c r="FC53" s="296"/>
      <c r="FD53" s="296"/>
      <c r="FE53" s="296"/>
      <c r="FF53" s="296"/>
      <c r="FG53" s="296"/>
      <c r="FH53" s="296"/>
      <c r="FI53" s="296"/>
      <c r="FJ53" s="296"/>
      <c r="FK53" s="296"/>
      <c r="FL53" s="296"/>
      <c r="FM53" s="296"/>
      <c r="FN53" s="296"/>
      <c r="FO53" s="296"/>
      <c r="FP53" s="296"/>
      <c r="FQ53" s="296"/>
      <c r="FR53" s="296"/>
      <c r="FS53" s="296"/>
      <c r="FT53" s="296"/>
      <c r="FU53" s="296"/>
      <c r="FV53" s="296"/>
      <c r="FW53" s="296"/>
      <c r="FX53" s="296"/>
      <c r="FY53" s="296"/>
      <c r="FZ53" s="296"/>
      <c r="GA53" s="296"/>
      <c r="GB53" s="296"/>
      <c r="GC53" s="296"/>
      <c r="GD53" s="296"/>
      <c r="GE53" s="296"/>
      <c r="GF53" s="296"/>
      <c r="GG53" s="296"/>
      <c r="GH53" s="296"/>
      <c r="GI53" s="296"/>
      <c r="GJ53" s="296"/>
      <c r="GK53" s="296"/>
      <c r="GL53" s="296"/>
      <c r="GM53" s="296"/>
      <c r="GN53" s="296"/>
      <c r="GO53" s="296"/>
      <c r="GP53" s="296"/>
      <c r="GQ53" s="296"/>
      <c r="GR53" s="296"/>
      <c r="GS53" s="296"/>
      <c r="GT53" s="296"/>
      <c r="GU53" s="296"/>
      <c r="GV53" s="296"/>
      <c r="GW53" s="296"/>
      <c r="GX53" s="296"/>
      <c r="GY53" s="296"/>
      <c r="GZ53" s="296"/>
      <c r="HA53" s="296"/>
      <c r="HB53" s="296"/>
      <c r="HC53" s="296"/>
      <c r="HD53" s="296"/>
      <c r="HE53" s="296"/>
      <c r="HF53" s="296"/>
      <c r="HG53" s="296"/>
      <c r="HH53" s="296"/>
      <c r="HI53" s="296"/>
      <c r="HJ53" s="296"/>
      <c r="HK53" s="296"/>
      <c r="HL53" s="296"/>
      <c r="HM53" s="296"/>
      <c r="HN53" s="296"/>
      <c r="HO53" s="296"/>
      <c r="HP53" s="296"/>
      <c r="HQ53" s="296"/>
      <c r="HR53" s="296"/>
      <c r="HS53" s="296"/>
      <c r="HT53" s="296"/>
      <c r="HU53" s="296"/>
      <c r="HV53" s="296"/>
      <c r="HW53" s="296"/>
      <c r="HX53" s="296"/>
      <c r="HY53" s="296"/>
      <c r="HZ53" s="296"/>
      <c r="IA53" s="296"/>
      <c r="IB53" s="296"/>
      <c r="IC53" s="296"/>
      <c r="ID53" s="296"/>
      <c r="IE53" s="296"/>
      <c r="IF53" s="296"/>
      <c r="IG53" s="296"/>
      <c r="IH53" s="296"/>
      <c r="II53" s="296"/>
      <c r="IJ53" s="296"/>
      <c r="IK53" s="296"/>
      <c r="IL53" s="296"/>
      <c r="IM53" s="296"/>
      <c r="IN53" s="296"/>
      <c r="IO53" s="296"/>
      <c r="IP53" s="296"/>
      <c r="IQ53" s="296"/>
      <c r="IR53" s="296"/>
      <c r="IS53" s="296"/>
      <c r="IT53" s="296"/>
      <c r="IU53" s="296"/>
      <c r="IV53" s="296"/>
    </row>
    <row r="54" spans="1:256" customFormat="1" ht="12.75" customHeight="1">
      <c r="A54" s="296"/>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296"/>
      <c r="DS54" s="296"/>
      <c r="DT54" s="296"/>
      <c r="DU54" s="296"/>
      <c r="DV54" s="296"/>
      <c r="DW54" s="296"/>
      <c r="DX54" s="296"/>
      <c r="DY54" s="296"/>
      <c r="DZ54" s="296"/>
      <c r="EA54" s="296"/>
      <c r="EB54" s="296"/>
      <c r="EC54" s="296"/>
      <c r="ED54" s="296"/>
      <c r="EE54" s="296"/>
      <c r="EF54" s="296"/>
      <c r="EG54" s="296"/>
      <c r="EH54" s="296"/>
      <c r="EI54" s="296"/>
      <c r="EJ54" s="296"/>
      <c r="EK54" s="296"/>
      <c r="EL54" s="296"/>
      <c r="EM54" s="296"/>
      <c r="EN54" s="296"/>
      <c r="EO54" s="296"/>
      <c r="EP54" s="296"/>
      <c r="EQ54" s="296"/>
      <c r="ER54" s="296"/>
      <c r="ES54" s="296"/>
      <c r="ET54" s="296"/>
      <c r="EU54" s="296"/>
      <c r="EV54" s="296"/>
      <c r="EW54" s="296"/>
      <c r="EX54" s="296"/>
      <c r="EY54" s="296"/>
      <c r="EZ54" s="296"/>
      <c r="FA54" s="296"/>
      <c r="FB54" s="296"/>
      <c r="FC54" s="296"/>
      <c r="FD54" s="296"/>
      <c r="FE54" s="296"/>
      <c r="FF54" s="296"/>
      <c r="FG54" s="296"/>
      <c r="FH54" s="296"/>
      <c r="FI54" s="296"/>
      <c r="FJ54" s="296"/>
      <c r="FK54" s="296"/>
      <c r="FL54" s="296"/>
      <c r="FM54" s="296"/>
      <c r="FN54" s="296"/>
      <c r="FO54" s="296"/>
      <c r="FP54" s="296"/>
      <c r="FQ54" s="296"/>
      <c r="FR54" s="296"/>
      <c r="FS54" s="296"/>
      <c r="FT54" s="296"/>
      <c r="FU54" s="296"/>
      <c r="FV54" s="296"/>
      <c r="FW54" s="296"/>
      <c r="FX54" s="296"/>
      <c r="FY54" s="296"/>
      <c r="FZ54" s="296"/>
      <c r="GA54" s="296"/>
      <c r="GB54" s="296"/>
      <c r="GC54" s="296"/>
      <c r="GD54" s="296"/>
      <c r="GE54" s="296"/>
      <c r="GF54" s="296"/>
      <c r="GG54" s="296"/>
      <c r="GH54" s="296"/>
      <c r="GI54" s="296"/>
      <c r="GJ54" s="296"/>
      <c r="GK54" s="296"/>
      <c r="GL54" s="296"/>
      <c r="GM54" s="296"/>
      <c r="GN54" s="296"/>
      <c r="GO54" s="296"/>
      <c r="GP54" s="296"/>
      <c r="GQ54" s="296"/>
      <c r="GR54" s="296"/>
      <c r="GS54" s="296"/>
      <c r="GT54" s="296"/>
      <c r="GU54" s="296"/>
      <c r="GV54" s="296"/>
      <c r="GW54" s="296"/>
      <c r="GX54" s="296"/>
      <c r="GY54" s="296"/>
      <c r="GZ54" s="296"/>
      <c r="HA54" s="296"/>
      <c r="HB54" s="296"/>
      <c r="HC54" s="296"/>
      <c r="HD54" s="296"/>
      <c r="HE54" s="296"/>
      <c r="HF54" s="296"/>
      <c r="HG54" s="296"/>
      <c r="HH54" s="296"/>
      <c r="HI54" s="296"/>
      <c r="HJ54" s="296"/>
      <c r="HK54" s="296"/>
      <c r="HL54" s="296"/>
      <c r="HM54" s="296"/>
      <c r="HN54" s="296"/>
      <c r="HO54" s="296"/>
      <c r="HP54" s="296"/>
      <c r="HQ54" s="296"/>
      <c r="HR54" s="296"/>
      <c r="HS54" s="296"/>
      <c r="HT54" s="296"/>
      <c r="HU54" s="296"/>
      <c r="HV54" s="296"/>
      <c r="HW54" s="296"/>
      <c r="HX54" s="296"/>
      <c r="HY54" s="296"/>
      <c r="HZ54" s="296"/>
      <c r="IA54" s="296"/>
      <c r="IB54" s="296"/>
      <c r="IC54" s="296"/>
      <c r="ID54" s="296"/>
      <c r="IE54" s="296"/>
      <c r="IF54" s="296"/>
      <c r="IG54" s="296"/>
      <c r="IH54" s="296"/>
      <c r="II54" s="296"/>
      <c r="IJ54" s="296"/>
      <c r="IK54" s="296"/>
      <c r="IL54" s="296"/>
      <c r="IM54" s="296"/>
      <c r="IN54" s="296"/>
      <c r="IO54" s="296"/>
      <c r="IP54" s="296"/>
      <c r="IQ54" s="296"/>
      <c r="IR54" s="296"/>
      <c r="IS54" s="296"/>
      <c r="IT54" s="296"/>
      <c r="IU54" s="296"/>
      <c r="IV54" s="296"/>
    </row>
    <row r="55" spans="1:256" customFormat="1" ht="12.75" customHeight="1">
      <c r="A55" s="296"/>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96"/>
      <c r="DW55" s="296"/>
      <c r="DX55" s="296"/>
      <c r="DY55" s="296"/>
      <c r="DZ55" s="296"/>
      <c r="EA55" s="296"/>
      <c r="EB55" s="296"/>
      <c r="EC55" s="296"/>
      <c r="ED55" s="296"/>
      <c r="EE55" s="296"/>
      <c r="EF55" s="296"/>
      <c r="EG55" s="296"/>
      <c r="EH55" s="296"/>
      <c r="EI55" s="296"/>
      <c r="EJ55" s="296"/>
      <c r="EK55" s="296"/>
      <c r="EL55" s="296"/>
      <c r="EM55" s="296"/>
      <c r="EN55" s="296"/>
      <c r="EO55" s="296"/>
      <c r="EP55" s="296"/>
      <c r="EQ55" s="296"/>
      <c r="ER55" s="296"/>
      <c r="ES55" s="296"/>
      <c r="ET55" s="296"/>
      <c r="EU55" s="296"/>
      <c r="EV55" s="296"/>
      <c r="EW55" s="296"/>
      <c r="EX55" s="296"/>
      <c r="EY55" s="296"/>
      <c r="EZ55" s="296"/>
      <c r="FA55" s="296"/>
      <c r="FB55" s="296"/>
      <c r="FC55" s="296"/>
      <c r="FD55" s="296"/>
      <c r="FE55" s="296"/>
      <c r="FF55" s="296"/>
      <c r="FG55" s="296"/>
      <c r="FH55" s="296"/>
      <c r="FI55" s="296"/>
      <c r="FJ55" s="296"/>
      <c r="FK55" s="296"/>
      <c r="FL55" s="296"/>
      <c r="FM55" s="296"/>
      <c r="FN55" s="296"/>
      <c r="FO55" s="296"/>
      <c r="FP55" s="296"/>
      <c r="FQ55" s="296"/>
      <c r="FR55" s="296"/>
      <c r="FS55" s="296"/>
      <c r="FT55" s="296"/>
      <c r="FU55" s="296"/>
      <c r="FV55" s="296"/>
      <c r="FW55" s="296"/>
      <c r="FX55" s="296"/>
      <c r="FY55" s="296"/>
      <c r="FZ55" s="296"/>
      <c r="GA55" s="296"/>
      <c r="GB55" s="296"/>
      <c r="GC55" s="296"/>
      <c r="GD55" s="296"/>
      <c r="GE55" s="296"/>
      <c r="GF55" s="296"/>
      <c r="GG55" s="296"/>
      <c r="GH55" s="296"/>
      <c r="GI55" s="296"/>
      <c r="GJ55" s="296"/>
      <c r="GK55" s="296"/>
      <c r="GL55" s="296"/>
      <c r="GM55" s="296"/>
      <c r="GN55" s="296"/>
      <c r="GO55" s="296"/>
      <c r="GP55" s="296"/>
      <c r="GQ55" s="296"/>
      <c r="GR55" s="296"/>
      <c r="GS55" s="296"/>
      <c r="GT55" s="296"/>
      <c r="GU55" s="296"/>
      <c r="GV55" s="296"/>
      <c r="GW55" s="296"/>
      <c r="GX55" s="296"/>
      <c r="GY55" s="296"/>
      <c r="GZ55" s="296"/>
      <c r="HA55" s="296"/>
      <c r="HB55" s="296"/>
      <c r="HC55" s="296"/>
      <c r="HD55" s="296"/>
      <c r="HE55" s="296"/>
      <c r="HF55" s="296"/>
      <c r="HG55" s="296"/>
      <c r="HH55" s="296"/>
      <c r="HI55" s="296"/>
      <c r="HJ55" s="296"/>
      <c r="HK55" s="296"/>
      <c r="HL55" s="296"/>
      <c r="HM55" s="296"/>
      <c r="HN55" s="296"/>
      <c r="HO55" s="296"/>
      <c r="HP55" s="296"/>
      <c r="HQ55" s="296"/>
      <c r="HR55" s="296"/>
      <c r="HS55" s="296"/>
      <c r="HT55" s="296"/>
      <c r="HU55" s="296"/>
      <c r="HV55" s="296"/>
      <c r="HW55" s="296"/>
      <c r="HX55" s="296"/>
      <c r="HY55" s="296"/>
      <c r="HZ55" s="296"/>
      <c r="IA55" s="296"/>
      <c r="IB55" s="296"/>
      <c r="IC55" s="296"/>
      <c r="ID55" s="296"/>
      <c r="IE55" s="296"/>
      <c r="IF55" s="296"/>
      <c r="IG55" s="296"/>
      <c r="IH55" s="296"/>
      <c r="II55" s="296"/>
      <c r="IJ55" s="296"/>
      <c r="IK55" s="296"/>
      <c r="IL55" s="296"/>
      <c r="IM55" s="296"/>
      <c r="IN55" s="296"/>
      <c r="IO55" s="296"/>
      <c r="IP55" s="296"/>
      <c r="IQ55" s="296"/>
      <c r="IR55" s="296"/>
      <c r="IS55" s="296"/>
      <c r="IT55" s="296"/>
      <c r="IU55" s="296"/>
      <c r="IV55" s="296"/>
    </row>
    <row r="56" spans="1:256" customFormat="1" ht="12.75" customHeight="1">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6"/>
      <c r="CJ56" s="296"/>
      <c r="CK56" s="296"/>
      <c r="CL56" s="296"/>
      <c r="CM56" s="296"/>
      <c r="CN56" s="296"/>
      <c r="CO56" s="296"/>
      <c r="CP56" s="296"/>
      <c r="CQ56" s="296"/>
      <c r="CR56" s="296"/>
      <c r="CS56" s="296"/>
      <c r="CT56" s="296"/>
      <c r="CU56" s="296"/>
      <c r="CV56" s="296"/>
      <c r="CW56" s="296"/>
      <c r="CX56" s="296"/>
      <c r="CY56" s="296"/>
      <c r="CZ56" s="296"/>
      <c r="DA56" s="296"/>
      <c r="DB56" s="296"/>
      <c r="DC56" s="296"/>
      <c r="DD56" s="296"/>
      <c r="DE56" s="296"/>
      <c r="DF56" s="296"/>
      <c r="DG56" s="296"/>
      <c r="DH56" s="296"/>
      <c r="DI56" s="296"/>
      <c r="DJ56" s="296"/>
      <c r="DK56" s="296"/>
      <c r="DL56" s="296"/>
      <c r="DM56" s="296"/>
      <c r="DN56" s="296"/>
      <c r="DO56" s="296"/>
      <c r="DP56" s="296"/>
      <c r="DQ56" s="296"/>
      <c r="DR56" s="296"/>
      <c r="DS56" s="296"/>
      <c r="DT56" s="296"/>
      <c r="DU56" s="296"/>
      <c r="DV56" s="296"/>
      <c r="DW56" s="296"/>
      <c r="DX56" s="296"/>
      <c r="DY56" s="296"/>
      <c r="DZ56" s="296"/>
      <c r="EA56" s="296"/>
      <c r="EB56" s="296"/>
      <c r="EC56" s="296"/>
      <c r="ED56" s="296"/>
      <c r="EE56" s="296"/>
      <c r="EF56" s="296"/>
      <c r="EG56" s="296"/>
      <c r="EH56" s="296"/>
      <c r="EI56" s="296"/>
      <c r="EJ56" s="296"/>
      <c r="EK56" s="296"/>
      <c r="EL56" s="296"/>
      <c r="EM56" s="296"/>
      <c r="EN56" s="296"/>
      <c r="EO56" s="296"/>
      <c r="EP56" s="296"/>
      <c r="EQ56" s="296"/>
      <c r="ER56" s="296"/>
      <c r="ES56" s="296"/>
      <c r="ET56" s="296"/>
      <c r="EU56" s="296"/>
      <c r="EV56" s="296"/>
      <c r="EW56" s="296"/>
      <c r="EX56" s="296"/>
      <c r="EY56" s="296"/>
      <c r="EZ56" s="296"/>
      <c r="FA56" s="296"/>
      <c r="FB56" s="296"/>
      <c r="FC56" s="296"/>
      <c r="FD56" s="296"/>
      <c r="FE56" s="296"/>
      <c r="FF56" s="296"/>
      <c r="FG56" s="296"/>
      <c r="FH56" s="296"/>
      <c r="FI56" s="296"/>
      <c r="FJ56" s="296"/>
      <c r="FK56" s="296"/>
      <c r="FL56" s="296"/>
      <c r="FM56" s="296"/>
      <c r="FN56" s="296"/>
      <c r="FO56" s="296"/>
      <c r="FP56" s="296"/>
      <c r="FQ56" s="296"/>
      <c r="FR56" s="296"/>
      <c r="FS56" s="296"/>
      <c r="FT56" s="296"/>
      <c r="FU56" s="296"/>
      <c r="FV56" s="296"/>
      <c r="FW56" s="296"/>
      <c r="FX56" s="296"/>
      <c r="FY56" s="296"/>
      <c r="FZ56" s="296"/>
      <c r="GA56" s="296"/>
      <c r="GB56" s="296"/>
      <c r="GC56" s="296"/>
      <c r="GD56" s="296"/>
      <c r="GE56" s="296"/>
      <c r="GF56" s="296"/>
      <c r="GG56" s="296"/>
      <c r="GH56" s="296"/>
      <c r="GI56" s="296"/>
      <c r="GJ56" s="296"/>
      <c r="GK56" s="296"/>
      <c r="GL56" s="296"/>
      <c r="GM56" s="296"/>
      <c r="GN56" s="296"/>
      <c r="GO56" s="296"/>
      <c r="GP56" s="296"/>
      <c r="GQ56" s="296"/>
      <c r="GR56" s="296"/>
      <c r="GS56" s="296"/>
      <c r="GT56" s="296"/>
      <c r="GU56" s="296"/>
      <c r="GV56" s="296"/>
      <c r="GW56" s="296"/>
      <c r="GX56" s="296"/>
      <c r="GY56" s="296"/>
      <c r="GZ56" s="296"/>
      <c r="HA56" s="296"/>
      <c r="HB56" s="296"/>
      <c r="HC56" s="296"/>
      <c r="HD56" s="296"/>
      <c r="HE56" s="296"/>
      <c r="HF56" s="296"/>
      <c r="HG56" s="296"/>
      <c r="HH56" s="296"/>
      <c r="HI56" s="296"/>
      <c r="HJ56" s="296"/>
      <c r="HK56" s="296"/>
      <c r="HL56" s="296"/>
      <c r="HM56" s="296"/>
      <c r="HN56" s="296"/>
      <c r="HO56" s="296"/>
      <c r="HP56" s="296"/>
      <c r="HQ56" s="296"/>
      <c r="HR56" s="296"/>
      <c r="HS56" s="296"/>
      <c r="HT56" s="296"/>
      <c r="HU56" s="296"/>
      <c r="HV56" s="296"/>
      <c r="HW56" s="296"/>
      <c r="HX56" s="296"/>
      <c r="HY56" s="296"/>
      <c r="HZ56" s="296"/>
      <c r="IA56" s="296"/>
      <c r="IB56" s="296"/>
      <c r="IC56" s="296"/>
      <c r="ID56" s="296"/>
      <c r="IE56" s="296"/>
      <c r="IF56" s="296"/>
      <c r="IG56" s="296"/>
      <c r="IH56" s="296"/>
      <c r="II56" s="296"/>
      <c r="IJ56" s="296"/>
      <c r="IK56" s="296"/>
      <c r="IL56" s="296"/>
      <c r="IM56" s="296"/>
      <c r="IN56" s="296"/>
      <c r="IO56" s="296"/>
      <c r="IP56" s="296"/>
      <c r="IQ56" s="296"/>
      <c r="IR56" s="296"/>
      <c r="IS56" s="296"/>
      <c r="IT56" s="296"/>
      <c r="IU56" s="296"/>
      <c r="IV56" s="296"/>
    </row>
    <row r="57" spans="1:256" customFormat="1" ht="12.75" customHeight="1">
      <c r="A57" s="296"/>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N57" s="296"/>
      <c r="CO57" s="296"/>
      <c r="CP57" s="296"/>
      <c r="CQ57" s="296"/>
      <c r="CR57" s="296"/>
      <c r="CS57" s="296"/>
      <c r="CT57" s="296"/>
      <c r="CU57" s="296"/>
      <c r="CV57" s="296"/>
      <c r="CW57" s="296"/>
      <c r="CX57" s="296"/>
      <c r="CY57" s="296"/>
      <c r="CZ57" s="296"/>
      <c r="DA57" s="296"/>
      <c r="DB57" s="296"/>
      <c r="DC57" s="296"/>
      <c r="DD57" s="296"/>
      <c r="DE57" s="296"/>
      <c r="DF57" s="296"/>
      <c r="DG57" s="296"/>
      <c r="DH57" s="296"/>
      <c r="DI57" s="296"/>
      <c r="DJ57" s="296"/>
      <c r="DK57" s="296"/>
      <c r="DL57" s="296"/>
      <c r="DM57" s="296"/>
      <c r="DN57" s="296"/>
      <c r="DO57" s="296"/>
      <c r="DP57" s="296"/>
      <c r="DQ57" s="296"/>
      <c r="DR57" s="296"/>
      <c r="DS57" s="296"/>
      <c r="DT57" s="296"/>
      <c r="DU57" s="296"/>
      <c r="DV57" s="296"/>
      <c r="DW57" s="296"/>
      <c r="DX57" s="296"/>
      <c r="DY57" s="296"/>
      <c r="DZ57" s="296"/>
      <c r="EA57" s="296"/>
      <c r="EB57" s="296"/>
      <c r="EC57" s="296"/>
      <c r="ED57" s="296"/>
      <c r="EE57" s="296"/>
      <c r="EF57" s="296"/>
      <c r="EG57" s="296"/>
      <c r="EH57" s="296"/>
      <c r="EI57" s="296"/>
      <c r="EJ57" s="296"/>
      <c r="EK57" s="296"/>
      <c r="EL57" s="296"/>
      <c r="EM57" s="296"/>
      <c r="EN57" s="296"/>
      <c r="EO57" s="296"/>
      <c r="EP57" s="296"/>
      <c r="EQ57" s="296"/>
      <c r="ER57" s="296"/>
      <c r="ES57" s="296"/>
      <c r="ET57" s="296"/>
      <c r="EU57" s="296"/>
      <c r="EV57" s="296"/>
      <c r="EW57" s="296"/>
      <c r="EX57" s="296"/>
      <c r="EY57" s="296"/>
      <c r="EZ57" s="296"/>
      <c r="FA57" s="296"/>
      <c r="FB57" s="296"/>
      <c r="FC57" s="296"/>
      <c r="FD57" s="296"/>
      <c r="FE57" s="296"/>
      <c r="FF57" s="296"/>
      <c r="FG57" s="296"/>
      <c r="FH57" s="296"/>
      <c r="FI57" s="296"/>
      <c r="FJ57" s="296"/>
      <c r="FK57" s="296"/>
      <c r="FL57" s="296"/>
      <c r="FM57" s="296"/>
      <c r="FN57" s="296"/>
      <c r="FO57" s="296"/>
      <c r="FP57" s="296"/>
      <c r="FQ57" s="296"/>
      <c r="FR57" s="296"/>
      <c r="FS57" s="296"/>
      <c r="FT57" s="296"/>
      <c r="FU57" s="296"/>
      <c r="FV57" s="296"/>
      <c r="FW57" s="296"/>
      <c r="FX57" s="296"/>
      <c r="FY57" s="296"/>
      <c r="FZ57" s="296"/>
      <c r="GA57" s="296"/>
      <c r="GB57" s="296"/>
      <c r="GC57" s="296"/>
      <c r="GD57" s="296"/>
      <c r="GE57" s="296"/>
      <c r="GF57" s="296"/>
      <c r="GG57" s="296"/>
      <c r="GH57" s="296"/>
      <c r="GI57" s="296"/>
      <c r="GJ57" s="296"/>
      <c r="GK57" s="296"/>
      <c r="GL57" s="296"/>
      <c r="GM57" s="296"/>
      <c r="GN57" s="296"/>
      <c r="GO57" s="296"/>
      <c r="GP57" s="296"/>
      <c r="GQ57" s="296"/>
      <c r="GR57" s="296"/>
      <c r="GS57" s="296"/>
      <c r="GT57" s="296"/>
      <c r="GU57" s="296"/>
      <c r="GV57" s="296"/>
      <c r="GW57" s="296"/>
      <c r="GX57" s="296"/>
      <c r="GY57" s="296"/>
      <c r="GZ57" s="296"/>
      <c r="HA57" s="296"/>
      <c r="HB57" s="296"/>
      <c r="HC57" s="296"/>
      <c r="HD57" s="296"/>
      <c r="HE57" s="296"/>
      <c r="HF57" s="296"/>
      <c r="HG57" s="296"/>
      <c r="HH57" s="296"/>
      <c r="HI57" s="296"/>
      <c r="HJ57" s="296"/>
      <c r="HK57" s="296"/>
      <c r="HL57" s="296"/>
      <c r="HM57" s="296"/>
      <c r="HN57" s="296"/>
      <c r="HO57" s="296"/>
      <c r="HP57" s="296"/>
      <c r="HQ57" s="296"/>
      <c r="HR57" s="296"/>
      <c r="HS57" s="296"/>
      <c r="HT57" s="296"/>
      <c r="HU57" s="296"/>
      <c r="HV57" s="296"/>
      <c r="HW57" s="296"/>
      <c r="HX57" s="296"/>
      <c r="HY57" s="296"/>
      <c r="HZ57" s="296"/>
      <c r="IA57" s="296"/>
      <c r="IB57" s="296"/>
      <c r="IC57" s="296"/>
      <c r="ID57" s="296"/>
      <c r="IE57" s="296"/>
      <c r="IF57" s="296"/>
      <c r="IG57" s="296"/>
      <c r="IH57" s="296"/>
      <c r="II57" s="296"/>
      <c r="IJ57" s="296"/>
      <c r="IK57" s="296"/>
      <c r="IL57" s="296"/>
      <c r="IM57" s="296"/>
      <c r="IN57" s="296"/>
      <c r="IO57" s="296"/>
      <c r="IP57" s="296"/>
      <c r="IQ57" s="296"/>
      <c r="IR57" s="296"/>
      <c r="IS57" s="296"/>
      <c r="IT57" s="296"/>
      <c r="IU57" s="296"/>
      <c r="IV57" s="296"/>
    </row>
    <row r="58" spans="1:256" customFormat="1" ht="12.7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296"/>
      <c r="DR58" s="296"/>
      <c r="DS58" s="296"/>
      <c r="DT58" s="296"/>
      <c r="DU58" s="296"/>
      <c r="DV58" s="296"/>
      <c r="DW58" s="296"/>
      <c r="DX58" s="296"/>
      <c r="DY58" s="296"/>
      <c r="DZ58" s="296"/>
      <c r="EA58" s="296"/>
      <c r="EB58" s="296"/>
      <c r="EC58" s="296"/>
      <c r="ED58" s="296"/>
      <c r="EE58" s="296"/>
      <c r="EF58" s="296"/>
      <c r="EG58" s="296"/>
      <c r="EH58" s="296"/>
      <c r="EI58" s="296"/>
      <c r="EJ58" s="296"/>
      <c r="EK58" s="296"/>
      <c r="EL58" s="296"/>
      <c r="EM58" s="296"/>
      <c r="EN58" s="296"/>
      <c r="EO58" s="296"/>
      <c r="EP58" s="296"/>
      <c r="EQ58" s="296"/>
      <c r="ER58" s="296"/>
      <c r="ES58" s="296"/>
      <c r="ET58" s="296"/>
      <c r="EU58" s="296"/>
      <c r="EV58" s="296"/>
      <c r="EW58" s="296"/>
      <c r="EX58" s="296"/>
      <c r="EY58" s="296"/>
      <c r="EZ58" s="296"/>
      <c r="FA58" s="296"/>
      <c r="FB58" s="296"/>
      <c r="FC58" s="296"/>
      <c r="FD58" s="296"/>
      <c r="FE58" s="296"/>
      <c r="FF58" s="296"/>
      <c r="FG58" s="296"/>
      <c r="FH58" s="296"/>
      <c r="FI58" s="296"/>
      <c r="FJ58" s="296"/>
      <c r="FK58" s="296"/>
      <c r="FL58" s="296"/>
      <c r="FM58" s="296"/>
      <c r="FN58" s="296"/>
      <c r="FO58" s="296"/>
      <c r="FP58" s="296"/>
      <c r="FQ58" s="296"/>
      <c r="FR58" s="296"/>
      <c r="FS58" s="296"/>
      <c r="FT58" s="296"/>
      <c r="FU58" s="296"/>
      <c r="FV58" s="296"/>
      <c r="FW58" s="296"/>
      <c r="FX58" s="296"/>
      <c r="FY58" s="296"/>
      <c r="FZ58" s="296"/>
      <c r="GA58" s="296"/>
      <c r="GB58" s="296"/>
      <c r="GC58" s="296"/>
      <c r="GD58" s="296"/>
      <c r="GE58" s="296"/>
      <c r="GF58" s="296"/>
      <c r="GG58" s="296"/>
      <c r="GH58" s="296"/>
      <c r="GI58" s="296"/>
      <c r="GJ58" s="296"/>
      <c r="GK58" s="296"/>
      <c r="GL58" s="296"/>
      <c r="GM58" s="296"/>
      <c r="GN58" s="296"/>
      <c r="GO58" s="296"/>
      <c r="GP58" s="296"/>
      <c r="GQ58" s="296"/>
      <c r="GR58" s="296"/>
      <c r="GS58" s="296"/>
      <c r="GT58" s="296"/>
      <c r="GU58" s="296"/>
      <c r="GV58" s="296"/>
      <c r="GW58" s="296"/>
      <c r="GX58" s="296"/>
      <c r="GY58" s="296"/>
      <c r="GZ58" s="296"/>
      <c r="HA58" s="296"/>
      <c r="HB58" s="296"/>
      <c r="HC58" s="296"/>
      <c r="HD58" s="296"/>
      <c r="HE58" s="296"/>
      <c r="HF58" s="296"/>
      <c r="HG58" s="296"/>
      <c r="HH58" s="296"/>
      <c r="HI58" s="296"/>
      <c r="HJ58" s="296"/>
      <c r="HK58" s="296"/>
      <c r="HL58" s="296"/>
      <c r="HM58" s="296"/>
      <c r="HN58" s="296"/>
      <c r="HO58" s="296"/>
      <c r="HP58" s="296"/>
      <c r="HQ58" s="296"/>
      <c r="HR58" s="296"/>
      <c r="HS58" s="296"/>
      <c r="HT58" s="296"/>
      <c r="HU58" s="296"/>
      <c r="HV58" s="296"/>
      <c r="HW58" s="296"/>
      <c r="HX58" s="296"/>
      <c r="HY58" s="296"/>
      <c r="HZ58" s="296"/>
      <c r="IA58" s="296"/>
      <c r="IB58" s="296"/>
      <c r="IC58" s="296"/>
      <c r="ID58" s="296"/>
      <c r="IE58" s="296"/>
      <c r="IF58" s="296"/>
      <c r="IG58" s="296"/>
      <c r="IH58" s="296"/>
      <c r="II58" s="296"/>
      <c r="IJ58" s="296"/>
      <c r="IK58" s="296"/>
      <c r="IL58" s="296"/>
      <c r="IM58" s="296"/>
      <c r="IN58" s="296"/>
      <c r="IO58" s="296"/>
      <c r="IP58" s="296"/>
      <c r="IQ58" s="296"/>
      <c r="IR58" s="296"/>
      <c r="IS58" s="296"/>
      <c r="IT58" s="296"/>
      <c r="IU58" s="296"/>
      <c r="IV58" s="296"/>
    </row>
    <row r="59" spans="1:256" customFormat="1" ht="12.7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c r="CA59" s="296"/>
      <c r="CB59" s="296"/>
      <c r="CC59" s="296"/>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296"/>
      <c r="DO59" s="296"/>
      <c r="DP59" s="296"/>
      <c r="DQ59" s="296"/>
      <c r="DR59" s="296"/>
      <c r="DS59" s="296"/>
      <c r="DT59" s="296"/>
      <c r="DU59" s="296"/>
      <c r="DV59" s="296"/>
      <c r="DW59" s="296"/>
      <c r="DX59" s="296"/>
      <c r="DY59" s="296"/>
      <c r="DZ59" s="296"/>
      <c r="EA59" s="296"/>
      <c r="EB59" s="296"/>
      <c r="EC59" s="296"/>
      <c r="ED59" s="296"/>
      <c r="EE59" s="296"/>
      <c r="EF59" s="296"/>
      <c r="EG59" s="296"/>
      <c r="EH59" s="296"/>
      <c r="EI59" s="296"/>
      <c r="EJ59" s="296"/>
      <c r="EK59" s="296"/>
      <c r="EL59" s="296"/>
      <c r="EM59" s="296"/>
      <c r="EN59" s="296"/>
      <c r="EO59" s="296"/>
      <c r="EP59" s="296"/>
      <c r="EQ59" s="296"/>
      <c r="ER59" s="296"/>
      <c r="ES59" s="296"/>
      <c r="ET59" s="296"/>
      <c r="EU59" s="296"/>
      <c r="EV59" s="296"/>
      <c r="EW59" s="296"/>
      <c r="EX59" s="296"/>
      <c r="EY59" s="296"/>
      <c r="EZ59" s="296"/>
      <c r="FA59" s="296"/>
      <c r="FB59" s="296"/>
      <c r="FC59" s="296"/>
      <c r="FD59" s="296"/>
      <c r="FE59" s="296"/>
      <c r="FF59" s="296"/>
      <c r="FG59" s="296"/>
      <c r="FH59" s="296"/>
      <c r="FI59" s="296"/>
      <c r="FJ59" s="296"/>
      <c r="FK59" s="296"/>
      <c r="FL59" s="296"/>
      <c r="FM59" s="296"/>
      <c r="FN59" s="296"/>
      <c r="FO59" s="296"/>
      <c r="FP59" s="296"/>
      <c r="FQ59" s="296"/>
      <c r="FR59" s="296"/>
      <c r="FS59" s="296"/>
      <c r="FT59" s="296"/>
      <c r="FU59" s="296"/>
      <c r="FV59" s="296"/>
      <c r="FW59" s="296"/>
      <c r="FX59" s="296"/>
      <c r="FY59" s="296"/>
      <c r="FZ59" s="296"/>
      <c r="GA59" s="296"/>
      <c r="GB59" s="296"/>
      <c r="GC59" s="296"/>
      <c r="GD59" s="296"/>
      <c r="GE59" s="296"/>
      <c r="GF59" s="296"/>
      <c r="GG59" s="296"/>
      <c r="GH59" s="296"/>
      <c r="GI59" s="296"/>
      <c r="GJ59" s="296"/>
      <c r="GK59" s="296"/>
      <c r="GL59" s="296"/>
      <c r="GM59" s="296"/>
      <c r="GN59" s="296"/>
      <c r="GO59" s="296"/>
      <c r="GP59" s="296"/>
      <c r="GQ59" s="296"/>
      <c r="GR59" s="296"/>
      <c r="GS59" s="296"/>
      <c r="GT59" s="296"/>
      <c r="GU59" s="296"/>
      <c r="GV59" s="296"/>
      <c r="GW59" s="296"/>
      <c r="GX59" s="296"/>
      <c r="GY59" s="296"/>
      <c r="GZ59" s="296"/>
      <c r="HA59" s="296"/>
      <c r="HB59" s="296"/>
      <c r="HC59" s="296"/>
      <c r="HD59" s="296"/>
      <c r="HE59" s="296"/>
      <c r="HF59" s="296"/>
      <c r="HG59" s="296"/>
      <c r="HH59" s="296"/>
      <c r="HI59" s="296"/>
      <c r="HJ59" s="296"/>
      <c r="HK59" s="296"/>
      <c r="HL59" s="296"/>
      <c r="HM59" s="296"/>
      <c r="HN59" s="296"/>
      <c r="HO59" s="296"/>
      <c r="HP59" s="296"/>
      <c r="HQ59" s="296"/>
      <c r="HR59" s="296"/>
      <c r="HS59" s="296"/>
      <c r="HT59" s="296"/>
      <c r="HU59" s="296"/>
      <c r="HV59" s="296"/>
      <c r="HW59" s="296"/>
      <c r="HX59" s="296"/>
      <c r="HY59" s="296"/>
      <c r="HZ59" s="296"/>
      <c r="IA59" s="296"/>
      <c r="IB59" s="296"/>
      <c r="IC59" s="296"/>
      <c r="ID59" s="296"/>
      <c r="IE59" s="296"/>
      <c r="IF59" s="296"/>
      <c r="IG59" s="296"/>
      <c r="IH59" s="296"/>
      <c r="II59" s="296"/>
      <c r="IJ59" s="296"/>
      <c r="IK59" s="296"/>
      <c r="IL59" s="296"/>
      <c r="IM59" s="296"/>
      <c r="IN59" s="296"/>
      <c r="IO59" s="296"/>
      <c r="IP59" s="296"/>
      <c r="IQ59" s="296"/>
      <c r="IR59" s="296"/>
      <c r="IS59" s="296"/>
      <c r="IT59" s="296"/>
      <c r="IU59" s="296"/>
      <c r="IV59" s="296"/>
    </row>
    <row r="60" spans="1:256" customFormat="1" ht="12.7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c r="CA60" s="296"/>
      <c r="CB60" s="296"/>
      <c r="CC60" s="296"/>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296"/>
      <c r="DO60" s="296"/>
      <c r="DP60" s="296"/>
      <c r="DQ60" s="296"/>
      <c r="DR60" s="296"/>
      <c r="DS60" s="296"/>
      <c r="DT60" s="296"/>
      <c r="DU60" s="296"/>
      <c r="DV60" s="296"/>
      <c r="DW60" s="296"/>
      <c r="DX60" s="296"/>
      <c r="DY60" s="296"/>
      <c r="DZ60" s="296"/>
      <c r="EA60" s="296"/>
      <c r="EB60" s="296"/>
      <c r="EC60" s="296"/>
      <c r="ED60" s="296"/>
      <c r="EE60" s="296"/>
      <c r="EF60" s="296"/>
      <c r="EG60" s="296"/>
      <c r="EH60" s="296"/>
      <c r="EI60" s="296"/>
      <c r="EJ60" s="296"/>
      <c r="EK60" s="296"/>
      <c r="EL60" s="296"/>
      <c r="EM60" s="296"/>
      <c r="EN60" s="296"/>
      <c r="EO60" s="296"/>
      <c r="EP60" s="296"/>
      <c r="EQ60" s="296"/>
      <c r="ER60" s="296"/>
      <c r="ES60" s="296"/>
      <c r="ET60" s="296"/>
      <c r="EU60" s="296"/>
      <c r="EV60" s="296"/>
      <c r="EW60" s="296"/>
      <c r="EX60" s="296"/>
      <c r="EY60" s="296"/>
      <c r="EZ60" s="296"/>
      <c r="FA60" s="296"/>
      <c r="FB60" s="296"/>
      <c r="FC60" s="296"/>
      <c r="FD60" s="296"/>
      <c r="FE60" s="296"/>
      <c r="FF60" s="296"/>
      <c r="FG60" s="296"/>
      <c r="FH60" s="296"/>
      <c r="FI60" s="296"/>
      <c r="FJ60" s="296"/>
      <c r="FK60" s="296"/>
      <c r="FL60" s="296"/>
      <c r="FM60" s="296"/>
      <c r="FN60" s="296"/>
      <c r="FO60" s="296"/>
      <c r="FP60" s="296"/>
      <c r="FQ60" s="296"/>
      <c r="FR60" s="296"/>
      <c r="FS60" s="296"/>
      <c r="FT60" s="296"/>
      <c r="FU60" s="296"/>
      <c r="FV60" s="296"/>
      <c r="FW60" s="296"/>
      <c r="FX60" s="296"/>
      <c r="FY60" s="296"/>
      <c r="FZ60" s="296"/>
      <c r="GA60" s="296"/>
      <c r="GB60" s="296"/>
      <c r="GC60" s="296"/>
      <c r="GD60" s="296"/>
      <c r="GE60" s="296"/>
      <c r="GF60" s="296"/>
      <c r="GG60" s="296"/>
      <c r="GH60" s="296"/>
      <c r="GI60" s="296"/>
      <c r="GJ60" s="296"/>
      <c r="GK60" s="296"/>
      <c r="GL60" s="296"/>
      <c r="GM60" s="296"/>
      <c r="GN60" s="296"/>
      <c r="GO60" s="296"/>
      <c r="GP60" s="296"/>
      <c r="GQ60" s="296"/>
      <c r="GR60" s="296"/>
      <c r="GS60" s="296"/>
      <c r="GT60" s="296"/>
      <c r="GU60" s="296"/>
      <c r="GV60" s="296"/>
      <c r="GW60" s="296"/>
      <c r="GX60" s="296"/>
      <c r="GY60" s="296"/>
      <c r="GZ60" s="296"/>
      <c r="HA60" s="296"/>
      <c r="HB60" s="296"/>
      <c r="HC60" s="296"/>
      <c r="HD60" s="296"/>
      <c r="HE60" s="296"/>
      <c r="HF60" s="296"/>
      <c r="HG60" s="296"/>
      <c r="HH60" s="296"/>
      <c r="HI60" s="296"/>
      <c r="HJ60" s="296"/>
      <c r="HK60" s="296"/>
      <c r="HL60" s="296"/>
      <c r="HM60" s="296"/>
      <c r="HN60" s="296"/>
      <c r="HO60" s="296"/>
      <c r="HP60" s="296"/>
      <c r="HQ60" s="296"/>
      <c r="HR60" s="296"/>
      <c r="HS60" s="296"/>
      <c r="HT60" s="296"/>
      <c r="HU60" s="296"/>
      <c r="HV60" s="296"/>
      <c r="HW60" s="296"/>
      <c r="HX60" s="296"/>
      <c r="HY60" s="296"/>
      <c r="HZ60" s="296"/>
      <c r="IA60" s="296"/>
      <c r="IB60" s="296"/>
      <c r="IC60" s="296"/>
      <c r="ID60" s="296"/>
      <c r="IE60" s="296"/>
      <c r="IF60" s="296"/>
      <c r="IG60" s="296"/>
      <c r="IH60" s="296"/>
      <c r="II60" s="296"/>
      <c r="IJ60" s="296"/>
      <c r="IK60" s="296"/>
      <c r="IL60" s="296"/>
      <c r="IM60" s="296"/>
      <c r="IN60" s="296"/>
      <c r="IO60" s="296"/>
      <c r="IP60" s="296"/>
      <c r="IQ60" s="296"/>
      <c r="IR60" s="296"/>
      <c r="IS60" s="296"/>
      <c r="IT60" s="296"/>
      <c r="IU60" s="296"/>
      <c r="IV60" s="296"/>
    </row>
    <row r="61" spans="1:256" customFormat="1" ht="12.7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c r="CA61" s="296"/>
      <c r="CB61" s="296"/>
      <c r="CC61" s="296"/>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6"/>
      <c r="DF61" s="296"/>
      <c r="DG61" s="296"/>
      <c r="DH61" s="296"/>
      <c r="DI61" s="296"/>
      <c r="DJ61" s="296"/>
      <c r="DK61" s="296"/>
      <c r="DL61" s="296"/>
      <c r="DM61" s="296"/>
      <c r="DN61" s="296"/>
      <c r="DO61" s="296"/>
      <c r="DP61" s="296"/>
      <c r="DQ61" s="296"/>
      <c r="DR61" s="296"/>
      <c r="DS61" s="296"/>
      <c r="DT61" s="296"/>
      <c r="DU61" s="296"/>
      <c r="DV61" s="296"/>
      <c r="DW61" s="296"/>
      <c r="DX61" s="296"/>
      <c r="DY61" s="296"/>
      <c r="DZ61" s="296"/>
      <c r="EA61" s="296"/>
      <c r="EB61" s="296"/>
      <c r="EC61" s="296"/>
      <c r="ED61" s="296"/>
      <c r="EE61" s="296"/>
      <c r="EF61" s="296"/>
      <c r="EG61" s="296"/>
      <c r="EH61" s="296"/>
      <c r="EI61" s="296"/>
      <c r="EJ61" s="296"/>
      <c r="EK61" s="296"/>
      <c r="EL61" s="296"/>
      <c r="EM61" s="296"/>
      <c r="EN61" s="296"/>
      <c r="EO61" s="296"/>
      <c r="EP61" s="296"/>
      <c r="EQ61" s="296"/>
      <c r="ER61" s="296"/>
      <c r="ES61" s="296"/>
      <c r="ET61" s="296"/>
      <c r="EU61" s="296"/>
      <c r="EV61" s="296"/>
      <c r="EW61" s="296"/>
      <c r="EX61" s="296"/>
      <c r="EY61" s="296"/>
      <c r="EZ61" s="296"/>
      <c r="FA61" s="296"/>
      <c r="FB61" s="296"/>
      <c r="FC61" s="296"/>
      <c r="FD61" s="296"/>
      <c r="FE61" s="296"/>
      <c r="FF61" s="296"/>
      <c r="FG61" s="296"/>
      <c r="FH61" s="296"/>
      <c r="FI61" s="296"/>
      <c r="FJ61" s="296"/>
      <c r="FK61" s="296"/>
      <c r="FL61" s="296"/>
      <c r="FM61" s="296"/>
      <c r="FN61" s="296"/>
      <c r="FO61" s="296"/>
      <c r="FP61" s="296"/>
      <c r="FQ61" s="296"/>
      <c r="FR61" s="296"/>
      <c r="FS61" s="296"/>
      <c r="FT61" s="296"/>
      <c r="FU61" s="296"/>
      <c r="FV61" s="296"/>
      <c r="FW61" s="296"/>
      <c r="FX61" s="296"/>
      <c r="FY61" s="296"/>
      <c r="FZ61" s="296"/>
      <c r="GA61" s="296"/>
      <c r="GB61" s="296"/>
      <c r="GC61" s="296"/>
      <c r="GD61" s="296"/>
      <c r="GE61" s="296"/>
      <c r="GF61" s="296"/>
      <c r="GG61" s="296"/>
      <c r="GH61" s="296"/>
      <c r="GI61" s="296"/>
      <c r="GJ61" s="296"/>
      <c r="GK61" s="296"/>
      <c r="GL61" s="296"/>
      <c r="GM61" s="296"/>
      <c r="GN61" s="296"/>
      <c r="GO61" s="296"/>
      <c r="GP61" s="296"/>
      <c r="GQ61" s="296"/>
      <c r="GR61" s="296"/>
      <c r="GS61" s="296"/>
      <c r="GT61" s="296"/>
      <c r="GU61" s="296"/>
      <c r="GV61" s="296"/>
      <c r="GW61" s="296"/>
      <c r="GX61" s="296"/>
      <c r="GY61" s="296"/>
      <c r="GZ61" s="296"/>
      <c r="HA61" s="296"/>
      <c r="HB61" s="296"/>
      <c r="HC61" s="296"/>
      <c r="HD61" s="296"/>
      <c r="HE61" s="296"/>
      <c r="HF61" s="296"/>
      <c r="HG61" s="296"/>
      <c r="HH61" s="296"/>
      <c r="HI61" s="296"/>
      <c r="HJ61" s="296"/>
      <c r="HK61" s="296"/>
      <c r="HL61" s="296"/>
      <c r="HM61" s="296"/>
      <c r="HN61" s="296"/>
      <c r="HO61" s="296"/>
      <c r="HP61" s="296"/>
      <c r="HQ61" s="296"/>
      <c r="HR61" s="296"/>
      <c r="HS61" s="296"/>
      <c r="HT61" s="296"/>
      <c r="HU61" s="296"/>
      <c r="HV61" s="296"/>
      <c r="HW61" s="296"/>
      <c r="HX61" s="296"/>
      <c r="HY61" s="296"/>
      <c r="HZ61" s="296"/>
      <c r="IA61" s="296"/>
      <c r="IB61" s="296"/>
      <c r="IC61" s="296"/>
      <c r="ID61" s="296"/>
      <c r="IE61" s="296"/>
      <c r="IF61" s="296"/>
      <c r="IG61" s="296"/>
      <c r="IH61" s="296"/>
      <c r="II61" s="296"/>
      <c r="IJ61" s="296"/>
      <c r="IK61" s="296"/>
      <c r="IL61" s="296"/>
      <c r="IM61" s="296"/>
      <c r="IN61" s="296"/>
      <c r="IO61" s="296"/>
      <c r="IP61" s="296"/>
      <c r="IQ61" s="296"/>
      <c r="IR61" s="296"/>
      <c r="IS61" s="296"/>
      <c r="IT61" s="296"/>
      <c r="IU61" s="296"/>
      <c r="IV61" s="296"/>
    </row>
    <row r="62" spans="1:256" customFormat="1" ht="12.7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6"/>
      <c r="DI62" s="296"/>
      <c r="DJ62" s="296"/>
      <c r="DK62" s="296"/>
      <c r="DL62" s="296"/>
      <c r="DM62" s="296"/>
      <c r="DN62" s="296"/>
      <c r="DO62" s="296"/>
      <c r="DP62" s="296"/>
      <c r="DQ62" s="296"/>
      <c r="DR62" s="296"/>
      <c r="DS62" s="296"/>
      <c r="DT62" s="296"/>
      <c r="DU62" s="296"/>
      <c r="DV62" s="296"/>
      <c r="DW62" s="296"/>
      <c r="DX62" s="296"/>
      <c r="DY62" s="296"/>
      <c r="DZ62" s="296"/>
      <c r="EA62" s="296"/>
      <c r="EB62" s="296"/>
      <c r="EC62" s="296"/>
      <c r="ED62" s="296"/>
      <c r="EE62" s="296"/>
      <c r="EF62" s="296"/>
      <c r="EG62" s="296"/>
      <c r="EH62" s="296"/>
      <c r="EI62" s="296"/>
      <c r="EJ62" s="296"/>
      <c r="EK62" s="296"/>
      <c r="EL62" s="296"/>
      <c r="EM62" s="296"/>
      <c r="EN62" s="296"/>
      <c r="EO62" s="296"/>
      <c r="EP62" s="296"/>
      <c r="EQ62" s="296"/>
      <c r="ER62" s="296"/>
      <c r="ES62" s="296"/>
      <c r="ET62" s="296"/>
      <c r="EU62" s="296"/>
      <c r="EV62" s="296"/>
      <c r="EW62" s="296"/>
      <c r="EX62" s="296"/>
      <c r="EY62" s="296"/>
      <c r="EZ62" s="296"/>
      <c r="FA62" s="296"/>
      <c r="FB62" s="296"/>
      <c r="FC62" s="296"/>
      <c r="FD62" s="296"/>
      <c r="FE62" s="296"/>
      <c r="FF62" s="296"/>
      <c r="FG62" s="296"/>
      <c r="FH62" s="296"/>
      <c r="FI62" s="296"/>
      <c r="FJ62" s="296"/>
      <c r="FK62" s="296"/>
      <c r="FL62" s="296"/>
      <c r="FM62" s="296"/>
      <c r="FN62" s="296"/>
      <c r="FO62" s="296"/>
      <c r="FP62" s="296"/>
      <c r="FQ62" s="296"/>
      <c r="FR62" s="296"/>
      <c r="FS62" s="296"/>
      <c r="FT62" s="296"/>
      <c r="FU62" s="296"/>
      <c r="FV62" s="296"/>
      <c r="FW62" s="296"/>
      <c r="FX62" s="296"/>
      <c r="FY62" s="296"/>
      <c r="FZ62" s="296"/>
      <c r="GA62" s="296"/>
      <c r="GB62" s="296"/>
      <c r="GC62" s="296"/>
      <c r="GD62" s="296"/>
      <c r="GE62" s="296"/>
      <c r="GF62" s="296"/>
      <c r="GG62" s="296"/>
      <c r="GH62" s="296"/>
      <c r="GI62" s="296"/>
      <c r="GJ62" s="296"/>
      <c r="GK62" s="296"/>
      <c r="GL62" s="296"/>
      <c r="GM62" s="296"/>
      <c r="GN62" s="296"/>
      <c r="GO62" s="296"/>
      <c r="GP62" s="296"/>
      <c r="GQ62" s="296"/>
      <c r="GR62" s="296"/>
      <c r="GS62" s="296"/>
      <c r="GT62" s="296"/>
      <c r="GU62" s="296"/>
      <c r="GV62" s="296"/>
      <c r="GW62" s="296"/>
      <c r="GX62" s="296"/>
      <c r="GY62" s="296"/>
      <c r="GZ62" s="296"/>
      <c r="HA62" s="296"/>
      <c r="HB62" s="296"/>
      <c r="HC62" s="296"/>
      <c r="HD62" s="296"/>
      <c r="HE62" s="296"/>
      <c r="HF62" s="296"/>
      <c r="HG62" s="296"/>
      <c r="HH62" s="296"/>
      <c r="HI62" s="296"/>
      <c r="HJ62" s="296"/>
      <c r="HK62" s="296"/>
      <c r="HL62" s="296"/>
      <c r="HM62" s="296"/>
      <c r="HN62" s="296"/>
      <c r="HO62" s="296"/>
      <c r="HP62" s="296"/>
      <c r="HQ62" s="296"/>
      <c r="HR62" s="296"/>
      <c r="HS62" s="296"/>
      <c r="HT62" s="296"/>
      <c r="HU62" s="296"/>
      <c r="HV62" s="296"/>
      <c r="HW62" s="296"/>
      <c r="HX62" s="296"/>
      <c r="HY62" s="296"/>
      <c r="HZ62" s="296"/>
      <c r="IA62" s="296"/>
      <c r="IB62" s="296"/>
      <c r="IC62" s="296"/>
      <c r="ID62" s="296"/>
      <c r="IE62" s="296"/>
      <c r="IF62" s="296"/>
      <c r="IG62" s="296"/>
      <c r="IH62" s="296"/>
      <c r="II62" s="296"/>
      <c r="IJ62" s="296"/>
      <c r="IK62" s="296"/>
      <c r="IL62" s="296"/>
      <c r="IM62" s="296"/>
      <c r="IN62" s="296"/>
      <c r="IO62" s="296"/>
      <c r="IP62" s="296"/>
      <c r="IQ62" s="296"/>
      <c r="IR62" s="296"/>
      <c r="IS62" s="296"/>
      <c r="IT62" s="296"/>
      <c r="IU62" s="296"/>
      <c r="IV62" s="296"/>
    </row>
    <row r="63" spans="1:256" customFormat="1" ht="12.75" customHeight="1">
      <c r="A63" s="296"/>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c r="CA63" s="296"/>
      <c r="CB63" s="296"/>
      <c r="CC63" s="296"/>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296"/>
      <c r="CZ63" s="296"/>
      <c r="DA63" s="296"/>
      <c r="DB63" s="296"/>
      <c r="DC63" s="296"/>
      <c r="DD63" s="296"/>
      <c r="DE63" s="296"/>
      <c r="DF63" s="296"/>
      <c r="DG63" s="296"/>
      <c r="DH63" s="296"/>
      <c r="DI63" s="296"/>
      <c r="DJ63" s="296"/>
      <c r="DK63" s="296"/>
      <c r="DL63" s="296"/>
      <c r="DM63" s="296"/>
      <c r="DN63" s="296"/>
      <c r="DO63" s="296"/>
      <c r="DP63" s="296"/>
      <c r="DQ63" s="296"/>
      <c r="DR63" s="296"/>
      <c r="DS63" s="296"/>
      <c r="DT63" s="296"/>
      <c r="DU63" s="296"/>
      <c r="DV63" s="296"/>
      <c r="DW63" s="296"/>
      <c r="DX63" s="296"/>
      <c r="DY63" s="296"/>
      <c r="DZ63" s="296"/>
      <c r="EA63" s="296"/>
      <c r="EB63" s="296"/>
      <c r="EC63" s="296"/>
      <c r="ED63" s="296"/>
      <c r="EE63" s="296"/>
      <c r="EF63" s="296"/>
      <c r="EG63" s="296"/>
      <c r="EH63" s="296"/>
      <c r="EI63" s="296"/>
      <c r="EJ63" s="296"/>
      <c r="EK63" s="296"/>
      <c r="EL63" s="296"/>
      <c r="EM63" s="296"/>
      <c r="EN63" s="296"/>
      <c r="EO63" s="296"/>
      <c r="EP63" s="296"/>
      <c r="EQ63" s="296"/>
      <c r="ER63" s="296"/>
      <c r="ES63" s="296"/>
      <c r="ET63" s="296"/>
      <c r="EU63" s="296"/>
      <c r="EV63" s="296"/>
      <c r="EW63" s="296"/>
      <c r="EX63" s="296"/>
      <c r="EY63" s="296"/>
      <c r="EZ63" s="296"/>
      <c r="FA63" s="296"/>
      <c r="FB63" s="296"/>
      <c r="FC63" s="296"/>
      <c r="FD63" s="296"/>
      <c r="FE63" s="296"/>
      <c r="FF63" s="296"/>
      <c r="FG63" s="296"/>
      <c r="FH63" s="296"/>
      <c r="FI63" s="296"/>
      <c r="FJ63" s="296"/>
      <c r="FK63" s="296"/>
      <c r="FL63" s="296"/>
      <c r="FM63" s="296"/>
      <c r="FN63" s="296"/>
      <c r="FO63" s="296"/>
      <c r="FP63" s="296"/>
      <c r="FQ63" s="296"/>
      <c r="FR63" s="296"/>
      <c r="FS63" s="296"/>
      <c r="FT63" s="296"/>
      <c r="FU63" s="296"/>
      <c r="FV63" s="296"/>
      <c r="FW63" s="296"/>
      <c r="FX63" s="296"/>
      <c r="FY63" s="296"/>
      <c r="FZ63" s="296"/>
      <c r="GA63" s="296"/>
      <c r="GB63" s="296"/>
      <c r="GC63" s="296"/>
      <c r="GD63" s="296"/>
      <c r="GE63" s="296"/>
      <c r="GF63" s="296"/>
      <c r="GG63" s="296"/>
      <c r="GH63" s="296"/>
      <c r="GI63" s="296"/>
      <c r="GJ63" s="296"/>
      <c r="GK63" s="296"/>
      <c r="GL63" s="296"/>
      <c r="GM63" s="296"/>
      <c r="GN63" s="296"/>
      <c r="GO63" s="296"/>
      <c r="GP63" s="296"/>
      <c r="GQ63" s="296"/>
      <c r="GR63" s="296"/>
      <c r="GS63" s="296"/>
      <c r="GT63" s="296"/>
      <c r="GU63" s="296"/>
      <c r="GV63" s="296"/>
      <c r="GW63" s="296"/>
      <c r="GX63" s="296"/>
      <c r="GY63" s="296"/>
      <c r="GZ63" s="296"/>
      <c r="HA63" s="296"/>
      <c r="HB63" s="296"/>
      <c r="HC63" s="296"/>
      <c r="HD63" s="296"/>
      <c r="HE63" s="296"/>
      <c r="HF63" s="296"/>
      <c r="HG63" s="296"/>
      <c r="HH63" s="296"/>
      <c r="HI63" s="296"/>
      <c r="HJ63" s="296"/>
      <c r="HK63" s="296"/>
      <c r="HL63" s="296"/>
      <c r="HM63" s="296"/>
      <c r="HN63" s="296"/>
      <c r="HO63" s="296"/>
      <c r="HP63" s="296"/>
      <c r="HQ63" s="296"/>
      <c r="HR63" s="296"/>
      <c r="HS63" s="296"/>
      <c r="HT63" s="296"/>
      <c r="HU63" s="296"/>
      <c r="HV63" s="296"/>
      <c r="HW63" s="296"/>
      <c r="HX63" s="296"/>
      <c r="HY63" s="296"/>
      <c r="HZ63" s="296"/>
      <c r="IA63" s="296"/>
      <c r="IB63" s="296"/>
      <c r="IC63" s="296"/>
      <c r="ID63" s="296"/>
      <c r="IE63" s="296"/>
      <c r="IF63" s="296"/>
      <c r="IG63" s="296"/>
      <c r="IH63" s="296"/>
      <c r="II63" s="296"/>
      <c r="IJ63" s="296"/>
      <c r="IK63" s="296"/>
      <c r="IL63" s="296"/>
      <c r="IM63" s="296"/>
      <c r="IN63" s="296"/>
      <c r="IO63" s="296"/>
      <c r="IP63" s="296"/>
      <c r="IQ63" s="296"/>
      <c r="IR63" s="296"/>
      <c r="IS63" s="296"/>
      <c r="IT63" s="296"/>
      <c r="IU63" s="296"/>
      <c r="IV63" s="296"/>
    </row>
    <row r="64" spans="1:256" customFormat="1" ht="12.75" customHeight="1">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c r="CA64" s="296"/>
      <c r="CB64" s="296"/>
      <c r="CC64" s="296"/>
      <c r="CD64" s="296"/>
      <c r="CE64" s="296"/>
      <c r="CF64" s="296"/>
      <c r="CG64" s="296"/>
      <c r="CH64" s="296"/>
      <c r="CI64" s="296"/>
      <c r="CJ64" s="296"/>
      <c r="CK64" s="296"/>
      <c r="CL64" s="296"/>
      <c r="CM64" s="296"/>
      <c r="CN64" s="296"/>
      <c r="CO64" s="296"/>
      <c r="CP64" s="296"/>
      <c r="CQ64" s="296"/>
      <c r="CR64" s="296"/>
      <c r="CS64" s="296"/>
      <c r="CT64" s="296"/>
      <c r="CU64" s="296"/>
      <c r="CV64" s="296"/>
      <c r="CW64" s="296"/>
      <c r="CX64" s="296"/>
      <c r="CY64" s="296"/>
      <c r="CZ64" s="296"/>
      <c r="DA64" s="296"/>
      <c r="DB64" s="296"/>
      <c r="DC64" s="296"/>
      <c r="DD64" s="296"/>
      <c r="DE64" s="296"/>
      <c r="DF64" s="296"/>
      <c r="DG64" s="296"/>
      <c r="DH64" s="296"/>
      <c r="DI64" s="296"/>
      <c r="DJ64" s="296"/>
      <c r="DK64" s="296"/>
      <c r="DL64" s="296"/>
      <c r="DM64" s="296"/>
      <c r="DN64" s="296"/>
      <c r="DO64" s="296"/>
      <c r="DP64" s="296"/>
      <c r="DQ64" s="296"/>
      <c r="DR64" s="296"/>
      <c r="DS64" s="296"/>
      <c r="DT64" s="296"/>
      <c r="DU64" s="296"/>
      <c r="DV64" s="296"/>
      <c r="DW64" s="296"/>
      <c r="DX64" s="296"/>
      <c r="DY64" s="296"/>
      <c r="DZ64" s="296"/>
      <c r="EA64" s="296"/>
      <c r="EB64" s="296"/>
      <c r="EC64" s="296"/>
      <c r="ED64" s="296"/>
      <c r="EE64" s="296"/>
      <c r="EF64" s="296"/>
      <c r="EG64" s="296"/>
      <c r="EH64" s="296"/>
      <c r="EI64" s="296"/>
      <c r="EJ64" s="296"/>
      <c r="EK64" s="296"/>
      <c r="EL64" s="296"/>
      <c r="EM64" s="296"/>
      <c r="EN64" s="296"/>
      <c r="EO64" s="296"/>
      <c r="EP64" s="296"/>
      <c r="EQ64" s="296"/>
      <c r="ER64" s="296"/>
      <c r="ES64" s="296"/>
      <c r="ET64" s="296"/>
      <c r="EU64" s="296"/>
      <c r="EV64" s="296"/>
      <c r="EW64" s="296"/>
      <c r="EX64" s="296"/>
      <c r="EY64" s="296"/>
      <c r="EZ64" s="296"/>
      <c r="FA64" s="296"/>
      <c r="FB64" s="296"/>
      <c r="FC64" s="296"/>
      <c r="FD64" s="296"/>
      <c r="FE64" s="296"/>
      <c r="FF64" s="296"/>
      <c r="FG64" s="296"/>
      <c r="FH64" s="296"/>
      <c r="FI64" s="296"/>
      <c r="FJ64" s="296"/>
      <c r="FK64" s="296"/>
      <c r="FL64" s="296"/>
      <c r="FM64" s="296"/>
      <c r="FN64" s="296"/>
      <c r="FO64" s="296"/>
      <c r="FP64" s="296"/>
      <c r="FQ64" s="296"/>
      <c r="FR64" s="296"/>
      <c r="FS64" s="296"/>
      <c r="FT64" s="296"/>
      <c r="FU64" s="296"/>
      <c r="FV64" s="296"/>
      <c r="FW64" s="296"/>
      <c r="FX64" s="296"/>
      <c r="FY64" s="296"/>
      <c r="FZ64" s="296"/>
      <c r="GA64" s="296"/>
      <c r="GB64" s="296"/>
      <c r="GC64" s="296"/>
      <c r="GD64" s="296"/>
      <c r="GE64" s="296"/>
      <c r="GF64" s="296"/>
      <c r="GG64" s="296"/>
      <c r="GH64" s="296"/>
      <c r="GI64" s="296"/>
      <c r="GJ64" s="296"/>
      <c r="GK64" s="296"/>
      <c r="GL64" s="296"/>
      <c r="GM64" s="296"/>
      <c r="GN64" s="296"/>
      <c r="GO64" s="296"/>
      <c r="GP64" s="296"/>
      <c r="GQ64" s="296"/>
      <c r="GR64" s="296"/>
      <c r="GS64" s="296"/>
      <c r="GT64" s="296"/>
      <c r="GU64" s="296"/>
      <c r="GV64" s="296"/>
      <c r="GW64" s="296"/>
      <c r="GX64" s="296"/>
      <c r="GY64" s="296"/>
      <c r="GZ64" s="296"/>
      <c r="HA64" s="296"/>
      <c r="HB64" s="296"/>
      <c r="HC64" s="296"/>
      <c r="HD64" s="296"/>
      <c r="HE64" s="296"/>
      <c r="HF64" s="296"/>
      <c r="HG64" s="296"/>
      <c r="HH64" s="296"/>
      <c r="HI64" s="296"/>
      <c r="HJ64" s="296"/>
      <c r="HK64" s="296"/>
      <c r="HL64" s="296"/>
      <c r="HM64" s="296"/>
      <c r="HN64" s="296"/>
      <c r="HO64" s="296"/>
      <c r="HP64" s="296"/>
      <c r="HQ64" s="296"/>
      <c r="HR64" s="296"/>
      <c r="HS64" s="296"/>
      <c r="HT64" s="296"/>
      <c r="HU64" s="296"/>
      <c r="HV64" s="296"/>
      <c r="HW64" s="296"/>
      <c r="HX64" s="296"/>
      <c r="HY64" s="296"/>
      <c r="HZ64" s="296"/>
      <c r="IA64" s="296"/>
      <c r="IB64" s="296"/>
      <c r="IC64" s="296"/>
      <c r="ID64" s="296"/>
      <c r="IE64" s="296"/>
      <c r="IF64" s="296"/>
      <c r="IG64" s="296"/>
      <c r="IH64" s="296"/>
      <c r="II64" s="296"/>
      <c r="IJ64" s="296"/>
      <c r="IK64" s="296"/>
      <c r="IL64" s="296"/>
      <c r="IM64" s="296"/>
      <c r="IN64" s="296"/>
      <c r="IO64" s="296"/>
      <c r="IP64" s="296"/>
      <c r="IQ64" s="296"/>
      <c r="IR64" s="296"/>
      <c r="IS64" s="296"/>
      <c r="IT64" s="296"/>
      <c r="IU64" s="296"/>
      <c r="IV64" s="296"/>
    </row>
    <row r="65" spans="1:256" customFormat="1" ht="12.75" customHeight="1">
      <c r="A65" s="296"/>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6"/>
      <c r="BR65" s="296"/>
      <c r="BS65" s="296"/>
      <c r="BT65" s="296"/>
      <c r="BU65" s="296"/>
      <c r="BV65" s="296"/>
      <c r="BW65" s="296"/>
      <c r="BX65" s="296"/>
      <c r="BY65" s="296"/>
      <c r="BZ65" s="296"/>
      <c r="CA65" s="296"/>
      <c r="CB65" s="296"/>
      <c r="CC65" s="296"/>
      <c r="CD65" s="296"/>
      <c r="CE65" s="296"/>
      <c r="CF65" s="296"/>
      <c r="CG65" s="296"/>
      <c r="CH65" s="296"/>
      <c r="CI65" s="296"/>
      <c r="CJ65" s="296"/>
      <c r="CK65" s="296"/>
      <c r="CL65" s="296"/>
      <c r="CM65" s="296"/>
      <c r="CN65" s="296"/>
      <c r="CO65" s="296"/>
      <c r="CP65" s="296"/>
      <c r="CQ65" s="296"/>
      <c r="CR65" s="296"/>
      <c r="CS65" s="296"/>
      <c r="CT65" s="296"/>
      <c r="CU65" s="296"/>
      <c r="CV65" s="296"/>
      <c r="CW65" s="296"/>
      <c r="CX65" s="296"/>
      <c r="CY65" s="296"/>
      <c r="CZ65" s="296"/>
      <c r="DA65" s="296"/>
      <c r="DB65" s="296"/>
      <c r="DC65" s="296"/>
      <c r="DD65" s="296"/>
      <c r="DE65" s="296"/>
      <c r="DF65" s="296"/>
      <c r="DG65" s="296"/>
      <c r="DH65" s="296"/>
      <c r="DI65" s="296"/>
      <c r="DJ65" s="296"/>
      <c r="DK65" s="296"/>
      <c r="DL65" s="296"/>
      <c r="DM65" s="296"/>
      <c r="DN65" s="296"/>
      <c r="DO65" s="296"/>
      <c r="DP65" s="296"/>
      <c r="DQ65" s="296"/>
      <c r="DR65" s="296"/>
      <c r="DS65" s="296"/>
      <c r="DT65" s="296"/>
      <c r="DU65" s="296"/>
      <c r="DV65" s="296"/>
      <c r="DW65" s="296"/>
      <c r="DX65" s="296"/>
      <c r="DY65" s="296"/>
      <c r="DZ65" s="296"/>
      <c r="EA65" s="296"/>
      <c r="EB65" s="296"/>
      <c r="EC65" s="296"/>
      <c r="ED65" s="296"/>
      <c r="EE65" s="296"/>
      <c r="EF65" s="296"/>
      <c r="EG65" s="296"/>
      <c r="EH65" s="296"/>
      <c r="EI65" s="296"/>
      <c r="EJ65" s="296"/>
      <c r="EK65" s="296"/>
      <c r="EL65" s="296"/>
      <c r="EM65" s="296"/>
      <c r="EN65" s="296"/>
      <c r="EO65" s="296"/>
      <c r="EP65" s="296"/>
      <c r="EQ65" s="296"/>
      <c r="ER65" s="296"/>
      <c r="ES65" s="296"/>
      <c r="ET65" s="296"/>
      <c r="EU65" s="296"/>
      <c r="EV65" s="296"/>
      <c r="EW65" s="296"/>
      <c r="EX65" s="296"/>
      <c r="EY65" s="296"/>
      <c r="EZ65" s="296"/>
      <c r="FA65" s="296"/>
      <c r="FB65" s="296"/>
      <c r="FC65" s="296"/>
      <c r="FD65" s="296"/>
      <c r="FE65" s="296"/>
      <c r="FF65" s="296"/>
      <c r="FG65" s="296"/>
      <c r="FH65" s="296"/>
      <c r="FI65" s="296"/>
      <c r="FJ65" s="296"/>
      <c r="FK65" s="296"/>
      <c r="FL65" s="296"/>
      <c r="FM65" s="296"/>
      <c r="FN65" s="296"/>
      <c r="FO65" s="296"/>
      <c r="FP65" s="296"/>
      <c r="FQ65" s="296"/>
      <c r="FR65" s="296"/>
      <c r="FS65" s="296"/>
      <c r="FT65" s="296"/>
      <c r="FU65" s="296"/>
      <c r="FV65" s="296"/>
      <c r="FW65" s="296"/>
      <c r="FX65" s="296"/>
      <c r="FY65" s="296"/>
      <c r="FZ65" s="296"/>
      <c r="GA65" s="296"/>
      <c r="GB65" s="296"/>
      <c r="GC65" s="296"/>
      <c r="GD65" s="296"/>
      <c r="GE65" s="296"/>
      <c r="GF65" s="296"/>
      <c r="GG65" s="296"/>
      <c r="GH65" s="296"/>
      <c r="GI65" s="296"/>
      <c r="GJ65" s="296"/>
      <c r="GK65" s="296"/>
      <c r="GL65" s="296"/>
      <c r="GM65" s="296"/>
      <c r="GN65" s="296"/>
      <c r="GO65" s="296"/>
      <c r="GP65" s="296"/>
      <c r="GQ65" s="296"/>
      <c r="GR65" s="296"/>
      <c r="GS65" s="296"/>
      <c r="GT65" s="296"/>
      <c r="GU65" s="296"/>
      <c r="GV65" s="296"/>
      <c r="GW65" s="296"/>
      <c r="GX65" s="296"/>
      <c r="GY65" s="296"/>
      <c r="GZ65" s="296"/>
      <c r="HA65" s="296"/>
      <c r="HB65" s="296"/>
      <c r="HC65" s="296"/>
      <c r="HD65" s="296"/>
      <c r="HE65" s="296"/>
      <c r="HF65" s="296"/>
      <c r="HG65" s="296"/>
      <c r="HH65" s="296"/>
      <c r="HI65" s="296"/>
      <c r="HJ65" s="296"/>
      <c r="HK65" s="296"/>
      <c r="HL65" s="296"/>
      <c r="HM65" s="296"/>
      <c r="HN65" s="296"/>
      <c r="HO65" s="296"/>
      <c r="HP65" s="296"/>
      <c r="HQ65" s="296"/>
      <c r="HR65" s="296"/>
      <c r="HS65" s="296"/>
      <c r="HT65" s="296"/>
      <c r="HU65" s="296"/>
      <c r="HV65" s="296"/>
      <c r="HW65" s="296"/>
      <c r="HX65" s="296"/>
      <c r="HY65" s="296"/>
      <c r="HZ65" s="296"/>
      <c r="IA65" s="296"/>
      <c r="IB65" s="296"/>
      <c r="IC65" s="296"/>
      <c r="ID65" s="296"/>
      <c r="IE65" s="296"/>
      <c r="IF65" s="296"/>
      <c r="IG65" s="296"/>
      <c r="IH65" s="296"/>
      <c r="II65" s="296"/>
      <c r="IJ65" s="296"/>
      <c r="IK65" s="296"/>
      <c r="IL65" s="296"/>
      <c r="IM65" s="296"/>
      <c r="IN65" s="296"/>
      <c r="IO65" s="296"/>
      <c r="IP65" s="296"/>
      <c r="IQ65" s="296"/>
      <c r="IR65" s="296"/>
      <c r="IS65" s="296"/>
      <c r="IT65" s="296"/>
      <c r="IU65" s="296"/>
      <c r="IV65" s="296"/>
    </row>
    <row r="66" spans="1:256" customFormat="1" ht="12.75" customHeight="1">
      <c r="A66" s="296"/>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6"/>
      <c r="BU66" s="296"/>
      <c r="BV66" s="296"/>
      <c r="BW66" s="296"/>
      <c r="BX66" s="296"/>
      <c r="BY66" s="296"/>
      <c r="BZ66" s="296"/>
      <c r="CA66" s="296"/>
      <c r="CB66" s="296"/>
      <c r="CC66" s="296"/>
      <c r="CD66" s="296"/>
      <c r="CE66" s="296"/>
      <c r="CF66" s="296"/>
      <c r="CG66" s="296"/>
      <c r="CH66" s="296"/>
      <c r="CI66" s="296"/>
      <c r="CJ66" s="296"/>
      <c r="CK66" s="296"/>
      <c r="CL66" s="296"/>
      <c r="CM66" s="296"/>
      <c r="CN66" s="296"/>
      <c r="CO66" s="296"/>
      <c r="CP66" s="296"/>
      <c r="CQ66" s="296"/>
      <c r="CR66" s="296"/>
      <c r="CS66" s="296"/>
      <c r="CT66" s="296"/>
      <c r="CU66" s="296"/>
      <c r="CV66" s="296"/>
      <c r="CW66" s="296"/>
      <c r="CX66" s="296"/>
      <c r="CY66" s="296"/>
      <c r="CZ66" s="296"/>
      <c r="DA66" s="296"/>
      <c r="DB66" s="296"/>
      <c r="DC66" s="296"/>
      <c r="DD66" s="296"/>
      <c r="DE66" s="296"/>
      <c r="DF66" s="296"/>
      <c r="DG66" s="296"/>
      <c r="DH66" s="296"/>
      <c r="DI66" s="296"/>
      <c r="DJ66" s="296"/>
      <c r="DK66" s="296"/>
      <c r="DL66" s="296"/>
      <c r="DM66" s="296"/>
      <c r="DN66" s="296"/>
      <c r="DO66" s="296"/>
      <c r="DP66" s="296"/>
      <c r="DQ66" s="296"/>
      <c r="DR66" s="296"/>
      <c r="DS66" s="296"/>
      <c r="DT66" s="296"/>
      <c r="DU66" s="296"/>
      <c r="DV66" s="296"/>
      <c r="DW66" s="296"/>
      <c r="DX66" s="296"/>
      <c r="DY66" s="296"/>
      <c r="DZ66" s="296"/>
      <c r="EA66" s="296"/>
      <c r="EB66" s="296"/>
      <c r="EC66" s="296"/>
      <c r="ED66" s="296"/>
      <c r="EE66" s="296"/>
      <c r="EF66" s="296"/>
      <c r="EG66" s="296"/>
      <c r="EH66" s="296"/>
      <c r="EI66" s="296"/>
      <c r="EJ66" s="296"/>
      <c r="EK66" s="296"/>
      <c r="EL66" s="296"/>
      <c r="EM66" s="296"/>
      <c r="EN66" s="296"/>
      <c r="EO66" s="296"/>
      <c r="EP66" s="296"/>
      <c r="EQ66" s="296"/>
      <c r="ER66" s="296"/>
      <c r="ES66" s="296"/>
      <c r="ET66" s="296"/>
      <c r="EU66" s="296"/>
      <c r="EV66" s="296"/>
      <c r="EW66" s="296"/>
      <c r="EX66" s="296"/>
      <c r="EY66" s="296"/>
      <c r="EZ66" s="296"/>
      <c r="FA66" s="296"/>
      <c r="FB66" s="296"/>
      <c r="FC66" s="296"/>
      <c r="FD66" s="296"/>
      <c r="FE66" s="296"/>
      <c r="FF66" s="296"/>
      <c r="FG66" s="296"/>
      <c r="FH66" s="296"/>
      <c r="FI66" s="296"/>
      <c r="FJ66" s="296"/>
      <c r="FK66" s="296"/>
      <c r="FL66" s="296"/>
      <c r="FM66" s="296"/>
      <c r="FN66" s="296"/>
      <c r="FO66" s="296"/>
      <c r="FP66" s="296"/>
      <c r="FQ66" s="296"/>
      <c r="FR66" s="296"/>
      <c r="FS66" s="296"/>
      <c r="FT66" s="296"/>
      <c r="FU66" s="296"/>
      <c r="FV66" s="296"/>
      <c r="FW66" s="296"/>
      <c r="FX66" s="296"/>
      <c r="FY66" s="296"/>
      <c r="FZ66" s="296"/>
      <c r="GA66" s="296"/>
      <c r="GB66" s="296"/>
      <c r="GC66" s="296"/>
      <c r="GD66" s="296"/>
      <c r="GE66" s="296"/>
      <c r="GF66" s="296"/>
      <c r="GG66" s="296"/>
      <c r="GH66" s="296"/>
      <c r="GI66" s="296"/>
      <c r="GJ66" s="296"/>
      <c r="GK66" s="296"/>
      <c r="GL66" s="296"/>
      <c r="GM66" s="296"/>
      <c r="GN66" s="296"/>
      <c r="GO66" s="296"/>
      <c r="GP66" s="296"/>
      <c r="GQ66" s="296"/>
      <c r="GR66" s="296"/>
      <c r="GS66" s="296"/>
      <c r="GT66" s="296"/>
      <c r="GU66" s="296"/>
      <c r="GV66" s="296"/>
      <c r="GW66" s="296"/>
      <c r="GX66" s="296"/>
      <c r="GY66" s="296"/>
      <c r="GZ66" s="296"/>
      <c r="HA66" s="296"/>
      <c r="HB66" s="296"/>
      <c r="HC66" s="296"/>
      <c r="HD66" s="296"/>
      <c r="HE66" s="296"/>
      <c r="HF66" s="296"/>
      <c r="HG66" s="296"/>
      <c r="HH66" s="296"/>
      <c r="HI66" s="296"/>
      <c r="HJ66" s="296"/>
      <c r="HK66" s="296"/>
      <c r="HL66" s="296"/>
      <c r="HM66" s="296"/>
      <c r="HN66" s="296"/>
      <c r="HO66" s="296"/>
      <c r="HP66" s="296"/>
      <c r="HQ66" s="296"/>
      <c r="HR66" s="296"/>
      <c r="HS66" s="296"/>
      <c r="HT66" s="296"/>
      <c r="HU66" s="296"/>
      <c r="HV66" s="296"/>
      <c r="HW66" s="296"/>
      <c r="HX66" s="296"/>
      <c r="HY66" s="296"/>
      <c r="HZ66" s="296"/>
      <c r="IA66" s="296"/>
      <c r="IB66" s="296"/>
      <c r="IC66" s="296"/>
      <c r="ID66" s="296"/>
      <c r="IE66" s="296"/>
      <c r="IF66" s="296"/>
      <c r="IG66" s="296"/>
      <c r="IH66" s="296"/>
      <c r="II66" s="296"/>
      <c r="IJ66" s="296"/>
      <c r="IK66" s="296"/>
      <c r="IL66" s="296"/>
      <c r="IM66" s="296"/>
      <c r="IN66" s="296"/>
      <c r="IO66" s="296"/>
      <c r="IP66" s="296"/>
      <c r="IQ66" s="296"/>
      <c r="IR66" s="296"/>
      <c r="IS66" s="296"/>
      <c r="IT66" s="296"/>
      <c r="IU66" s="296"/>
      <c r="IV66" s="296"/>
    </row>
    <row r="67" spans="1:256" customFormat="1" ht="12.75" customHeight="1">
      <c r="A67" s="296"/>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6"/>
      <c r="BU67" s="296"/>
      <c r="BV67" s="296"/>
      <c r="BW67" s="296"/>
      <c r="BX67" s="296"/>
      <c r="BY67" s="296"/>
      <c r="BZ67" s="296"/>
      <c r="CA67" s="296"/>
      <c r="CB67" s="296"/>
      <c r="CC67" s="296"/>
      <c r="CD67" s="296"/>
      <c r="CE67" s="296"/>
      <c r="CF67" s="296"/>
      <c r="CG67" s="296"/>
      <c r="CH67" s="296"/>
      <c r="CI67" s="296"/>
      <c r="CJ67" s="296"/>
      <c r="CK67" s="296"/>
      <c r="CL67" s="296"/>
      <c r="CM67" s="296"/>
      <c r="CN67" s="296"/>
      <c r="CO67" s="296"/>
      <c r="CP67" s="296"/>
      <c r="CQ67" s="296"/>
      <c r="CR67" s="296"/>
      <c r="CS67" s="296"/>
      <c r="CT67" s="296"/>
      <c r="CU67" s="296"/>
      <c r="CV67" s="296"/>
      <c r="CW67" s="296"/>
      <c r="CX67" s="296"/>
      <c r="CY67" s="296"/>
      <c r="CZ67" s="296"/>
      <c r="DA67" s="296"/>
      <c r="DB67" s="296"/>
      <c r="DC67" s="296"/>
      <c r="DD67" s="296"/>
      <c r="DE67" s="296"/>
      <c r="DF67" s="296"/>
      <c r="DG67" s="296"/>
      <c r="DH67" s="296"/>
      <c r="DI67" s="296"/>
      <c r="DJ67" s="296"/>
      <c r="DK67" s="296"/>
      <c r="DL67" s="296"/>
      <c r="DM67" s="296"/>
      <c r="DN67" s="296"/>
      <c r="DO67" s="296"/>
      <c r="DP67" s="296"/>
      <c r="DQ67" s="296"/>
      <c r="DR67" s="296"/>
      <c r="DS67" s="296"/>
      <c r="DT67" s="296"/>
      <c r="DU67" s="296"/>
      <c r="DV67" s="296"/>
      <c r="DW67" s="296"/>
      <c r="DX67" s="296"/>
      <c r="DY67" s="296"/>
      <c r="DZ67" s="296"/>
      <c r="EA67" s="296"/>
      <c r="EB67" s="296"/>
      <c r="EC67" s="296"/>
      <c r="ED67" s="296"/>
      <c r="EE67" s="296"/>
      <c r="EF67" s="296"/>
      <c r="EG67" s="296"/>
      <c r="EH67" s="296"/>
      <c r="EI67" s="296"/>
      <c r="EJ67" s="296"/>
      <c r="EK67" s="296"/>
      <c r="EL67" s="296"/>
      <c r="EM67" s="296"/>
      <c r="EN67" s="296"/>
      <c r="EO67" s="296"/>
      <c r="EP67" s="296"/>
      <c r="EQ67" s="296"/>
      <c r="ER67" s="296"/>
      <c r="ES67" s="296"/>
      <c r="ET67" s="296"/>
      <c r="EU67" s="296"/>
      <c r="EV67" s="296"/>
      <c r="EW67" s="296"/>
      <c r="EX67" s="296"/>
      <c r="EY67" s="296"/>
      <c r="EZ67" s="296"/>
      <c r="FA67" s="296"/>
      <c r="FB67" s="296"/>
      <c r="FC67" s="296"/>
      <c r="FD67" s="296"/>
      <c r="FE67" s="296"/>
      <c r="FF67" s="296"/>
      <c r="FG67" s="296"/>
      <c r="FH67" s="296"/>
      <c r="FI67" s="296"/>
      <c r="FJ67" s="296"/>
      <c r="FK67" s="296"/>
      <c r="FL67" s="296"/>
      <c r="FM67" s="296"/>
      <c r="FN67" s="296"/>
      <c r="FO67" s="296"/>
      <c r="FP67" s="296"/>
      <c r="FQ67" s="296"/>
      <c r="FR67" s="296"/>
      <c r="FS67" s="296"/>
      <c r="FT67" s="296"/>
      <c r="FU67" s="296"/>
      <c r="FV67" s="296"/>
      <c r="FW67" s="296"/>
      <c r="FX67" s="296"/>
      <c r="FY67" s="296"/>
      <c r="FZ67" s="296"/>
      <c r="GA67" s="296"/>
      <c r="GB67" s="296"/>
      <c r="GC67" s="296"/>
      <c r="GD67" s="296"/>
      <c r="GE67" s="296"/>
      <c r="GF67" s="296"/>
      <c r="GG67" s="296"/>
      <c r="GH67" s="296"/>
      <c r="GI67" s="296"/>
      <c r="GJ67" s="296"/>
      <c r="GK67" s="296"/>
      <c r="GL67" s="296"/>
      <c r="GM67" s="296"/>
      <c r="GN67" s="296"/>
      <c r="GO67" s="296"/>
      <c r="GP67" s="296"/>
      <c r="GQ67" s="296"/>
      <c r="GR67" s="296"/>
      <c r="GS67" s="296"/>
      <c r="GT67" s="296"/>
      <c r="GU67" s="296"/>
      <c r="GV67" s="296"/>
      <c r="GW67" s="296"/>
      <c r="GX67" s="296"/>
      <c r="GY67" s="296"/>
      <c r="GZ67" s="296"/>
      <c r="HA67" s="296"/>
      <c r="HB67" s="296"/>
      <c r="HC67" s="296"/>
      <c r="HD67" s="296"/>
      <c r="HE67" s="296"/>
      <c r="HF67" s="296"/>
      <c r="HG67" s="296"/>
      <c r="HH67" s="296"/>
      <c r="HI67" s="296"/>
      <c r="HJ67" s="296"/>
      <c r="HK67" s="296"/>
      <c r="HL67" s="296"/>
      <c r="HM67" s="296"/>
      <c r="HN67" s="296"/>
      <c r="HO67" s="296"/>
      <c r="HP67" s="296"/>
      <c r="HQ67" s="296"/>
      <c r="HR67" s="296"/>
      <c r="HS67" s="296"/>
      <c r="HT67" s="296"/>
      <c r="HU67" s="296"/>
      <c r="HV67" s="296"/>
      <c r="HW67" s="296"/>
      <c r="HX67" s="296"/>
      <c r="HY67" s="296"/>
      <c r="HZ67" s="296"/>
      <c r="IA67" s="296"/>
      <c r="IB67" s="296"/>
      <c r="IC67" s="296"/>
      <c r="ID67" s="296"/>
      <c r="IE67" s="296"/>
      <c r="IF67" s="296"/>
      <c r="IG67" s="296"/>
      <c r="IH67" s="296"/>
      <c r="II67" s="296"/>
      <c r="IJ67" s="296"/>
      <c r="IK67" s="296"/>
      <c r="IL67" s="296"/>
      <c r="IM67" s="296"/>
      <c r="IN67" s="296"/>
      <c r="IO67" s="296"/>
      <c r="IP67" s="296"/>
      <c r="IQ67" s="296"/>
      <c r="IR67" s="296"/>
      <c r="IS67" s="296"/>
      <c r="IT67" s="296"/>
      <c r="IU67" s="296"/>
      <c r="IV67" s="296"/>
    </row>
    <row r="68" spans="1:256" customFormat="1" ht="12.75" customHeight="1">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c r="CA68" s="296"/>
      <c r="CB68" s="296"/>
      <c r="CC68" s="296"/>
      <c r="CD68" s="296"/>
      <c r="CE68" s="296"/>
      <c r="CF68" s="296"/>
      <c r="CG68" s="296"/>
      <c r="CH68" s="296"/>
      <c r="CI68" s="296"/>
      <c r="CJ68" s="296"/>
      <c r="CK68" s="296"/>
      <c r="CL68" s="296"/>
      <c r="CM68" s="296"/>
      <c r="CN68" s="296"/>
      <c r="CO68" s="296"/>
      <c r="CP68" s="296"/>
      <c r="CQ68" s="296"/>
      <c r="CR68" s="296"/>
      <c r="CS68" s="296"/>
      <c r="CT68" s="296"/>
      <c r="CU68" s="296"/>
      <c r="CV68" s="296"/>
      <c r="CW68" s="296"/>
      <c r="CX68" s="296"/>
      <c r="CY68" s="296"/>
      <c r="CZ68" s="296"/>
      <c r="DA68" s="296"/>
      <c r="DB68" s="296"/>
      <c r="DC68" s="296"/>
      <c r="DD68" s="296"/>
      <c r="DE68" s="296"/>
      <c r="DF68" s="296"/>
      <c r="DG68" s="296"/>
      <c r="DH68" s="296"/>
      <c r="DI68" s="296"/>
      <c r="DJ68" s="296"/>
      <c r="DK68" s="296"/>
      <c r="DL68" s="296"/>
      <c r="DM68" s="296"/>
      <c r="DN68" s="296"/>
      <c r="DO68" s="296"/>
      <c r="DP68" s="296"/>
      <c r="DQ68" s="296"/>
      <c r="DR68" s="296"/>
      <c r="DS68" s="296"/>
      <c r="DT68" s="296"/>
      <c r="DU68" s="296"/>
      <c r="DV68" s="296"/>
      <c r="DW68" s="296"/>
      <c r="DX68" s="296"/>
      <c r="DY68" s="296"/>
      <c r="DZ68" s="296"/>
      <c r="EA68" s="296"/>
      <c r="EB68" s="296"/>
      <c r="EC68" s="296"/>
      <c r="ED68" s="296"/>
      <c r="EE68" s="296"/>
      <c r="EF68" s="296"/>
      <c r="EG68" s="296"/>
      <c r="EH68" s="296"/>
      <c r="EI68" s="296"/>
      <c r="EJ68" s="296"/>
      <c r="EK68" s="296"/>
      <c r="EL68" s="296"/>
      <c r="EM68" s="296"/>
      <c r="EN68" s="296"/>
      <c r="EO68" s="296"/>
      <c r="EP68" s="296"/>
      <c r="EQ68" s="296"/>
      <c r="ER68" s="296"/>
      <c r="ES68" s="296"/>
      <c r="ET68" s="296"/>
      <c r="EU68" s="296"/>
      <c r="EV68" s="296"/>
      <c r="EW68" s="296"/>
      <c r="EX68" s="296"/>
      <c r="EY68" s="296"/>
      <c r="EZ68" s="296"/>
      <c r="FA68" s="296"/>
      <c r="FB68" s="296"/>
      <c r="FC68" s="296"/>
      <c r="FD68" s="296"/>
      <c r="FE68" s="296"/>
      <c r="FF68" s="296"/>
      <c r="FG68" s="296"/>
      <c r="FH68" s="296"/>
      <c r="FI68" s="296"/>
      <c r="FJ68" s="296"/>
      <c r="FK68" s="296"/>
      <c r="FL68" s="296"/>
      <c r="FM68" s="296"/>
      <c r="FN68" s="296"/>
      <c r="FO68" s="296"/>
      <c r="FP68" s="296"/>
      <c r="FQ68" s="296"/>
      <c r="FR68" s="296"/>
      <c r="FS68" s="296"/>
      <c r="FT68" s="296"/>
      <c r="FU68" s="296"/>
      <c r="FV68" s="296"/>
      <c r="FW68" s="296"/>
      <c r="FX68" s="296"/>
      <c r="FY68" s="296"/>
      <c r="FZ68" s="296"/>
      <c r="GA68" s="296"/>
      <c r="GB68" s="296"/>
      <c r="GC68" s="296"/>
      <c r="GD68" s="296"/>
      <c r="GE68" s="296"/>
      <c r="GF68" s="296"/>
      <c r="GG68" s="296"/>
      <c r="GH68" s="296"/>
      <c r="GI68" s="296"/>
      <c r="GJ68" s="296"/>
      <c r="GK68" s="296"/>
      <c r="GL68" s="296"/>
      <c r="GM68" s="296"/>
      <c r="GN68" s="296"/>
      <c r="GO68" s="296"/>
      <c r="GP68" s="296"/>
      <c r="GQ68" s="296"/>
      <c r="GR68" s="296"/>
      <c r="GS68" s="296"/>
      <c r="GT68" s="296"/>
      <c r="GU68" s="296"/>
      <c r="GV68" s="296"/>
      <c r="GW68" s="296"/>
      <c r="GX68" s="296"/>
      <c r="GY68" s="296"/>
      <c r="GZ68" s="296"/>
      <c r="HA68" s="296"/>
      <c r="HB68" s="296"/>
      <c r="HC68" s="296"/>
      <c r="HD68" s="296"/>
      <c r="HE68" s="296"/>
      <c r="HF68" s="296"/>
      <c r="HG68" s="296"/>
      <c r="HH68" s="296"/>
      <c r="HI68" s="296"/>
      <c r="HJ68" s="296"/>
      <c r="HK68" s="296"/>
      <c r="HL68" s="296"/>
      <c r="HM68" s="296"/>
      <c r="HN68" s="296"/>
      <c r="HO68" s="296"/>
      <c r="HP68" s="296"/>
      <c r="HQ68" s="296"/>
      <c r="HR68" s="296"/>
      <c r="HS68" s="296"/>
      <c r="HT68" s="296"/>
      <c r="HU68" s="296"/>
      <c r="HV68" s="296"/>
      <c r="HW68" s="296"/>
      <c r="HX68" s="296"/>
      <c r="HY68" s="296"/>
      <c r="HZ68" s="296"/>
      <c r="IA68" s="296"/>
      <c r="IB68" s="296"/>
      <c r="IC68" s="296"/>
      <c r="ID68" s="296"/>
      <c r="IE68" s="296"/>
      <c r="IF68" s="296"/>
      <c r="IG68" s="296"/>
      <c r="IH68" s="296"/>
      <c r="II68" s="296"/>
      <c r="IJ68" s="296"/>
      <c r="IK68" s="296"/>
      <c r="IL68" s="296"/>
      <c r="IM68" s="296"/>
      <c r="IN68" s="296"/>
      <c r="IO68" s="296"/>
      <c r="IP68" s="296"/>
      <c r="IQ68" s="296"/>
      <c r="IR68" s="296"/>
      <c r="IS68" s="296"/>
      <c r="IT68" s="296"/>
      <c r="IU68" s="296"/>
      <c r="IV68" s="296"/>
    </row>
    <row r="69" spans="1:256" customFormat="1" ht="12.75" customHeight="1">
      <c r="A69" s="296"/>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6"/>
      <c r="BR69" s="296"/>
      <c r="BS69" s="296"/>
      <c r="BT69" s="296"/>
      <c r="BU69" s="296"/>
      <c r="BV69" s="296"/>
      <c r="BW69" s="296"/>
      <c r="BX69" s="296"/>
      <c r="BY69" s="296"/>
      <c r="BZ69" s="296"/>
      <c r="CA69" s="296"/>
      <c r="CB69" s="296"/>
      <c r="CC69" s="296"/>
      <c r="CD69" s="296"/>
      <c r="CE69" s="296"/>
      <c r="CF69" s="296"/>
      <c r="CG69" s="296"/>
      <c r="CH69" s="296"/>
      <c r="CI69" s="296"/>
      <c r="CJ69" s="296"/>
      <c r="CK69" s="296"/>
      <c r="CL69" s="296"/>
      <c r="CM69" s="296"/>
      <c r="CN69" s="296"/>
      <c r="CO69" s="296"/>
      <c r="CP69" s="296"/>
      <c r="CQ69" s="296"/>
      <c r="CR69" s="296"/>
      <c r="CS69" s="296"/>
      <c r="CT69" s="296"/>
      <c r="CU69" s="296"/>
      <c r="CV69" s="296"/>
      <c r="CW69" s="296"/>
      <c r="CX69" s="296"/>
      <c r="CY69" s="296"/>
      <c r="CZ69" s="296"/>
      <c r="DA69" s="296"/>
      <c r="DB69" s="296"/>
      <c r="DC69" s="296"/>
      <c r="DD69" s="296"/>
      <c r="DE69" s="296"/>
      <c r="DF69" s="296"/>
      <c r="DG69" s="296"/>
      <c r="DH69" s="296"/>
      <c r="DI69" s="296"/>
      <c r="DJ69" s="296"/>
      <c r="DK69" s="296"/>
      <c r="DL69" s="296"/>
      <c r="DM69" s="296"/>
      <c r="DN69" s="296"/>
      <c r="DO69" s="296"/>
      <c r="DP69" s="296"/>
      <c r="DQ69" s="296"/>
      <c r="DR69" s="296"/>
      <c r="DS69" s="296"/>
      <c r="DT69" s="296"/>
      <c r="DU69" s="296"/>
      <c r="DV69" s="296"/>
      <c r="DW69" s="296"/>
      <c r="DX69" s="296"/>
      <c r="DY69" s="296"/>
      <c r="DZ69" s="296"/>
      <c r="EA69" s="296"/>
      <c r="EB69" s="296"/>
      <c r="EC69" s="296"/>
      <c r="ED69" s="296"/>
      <c r="EE69" s="296"/>
      <c r="EF69" s="296"/>
      <c r="EG69" s="296"/>
      <c r="EH69" s="296"/>
      <c r="EI69" s="296"/>
      <c r="EJ69" s="296"/>
      <c r="EK69" s="296"/>
      <c r="EL69" s="296"/>
      <c r="EM69" s="296"/>
      <c r="EN69" s="296"/>
      <c r="EO69" s="296"/>
      <c r="EP69" s="296"/>
      <c r="EQ69" s="296"/>
      <c r="ER69" s="296"/>
      <c r="ES69" s="296"/>
      <c r="ET69" s="296"/>
      <c r="EU69" s="296"/>
      <c r="EV69" s="296"/>
      <c r="EW69" s="296"/>
      <c r="EX69" s="296"/>
      <c r="EY69" s="296"/>
      <c r="EZ69" s="296"/>
      <c r="FA69" s="296"/>
      <c r="FB69" s="296"/>
      <c r="FC69" s="296"/>
      <c r="FD69" s="296"/>
      <c r="FE69" s="296"/>
      <c r="FF69" s="296"/>
      <c r="FG69" s="296"/>
      <c r="FH69" s="296"/>
      <c r="FI69" s="296"/>
      <c r="FJ69" s="296"/>
      <c r="FK69" s="296"/>
      <c r="FL69" s="296"/>
      <c r="FM69" s="296"/>
      <c r="FN69" s="296"/>
      <c r="FO69" s="296"/>
      <c r="FP69" s="296"/>
      <c r="FQ69" s="296"/>
      <c r="FR69" s="296"/>
      <c r="FS69" s="296"/>
      <c r="FT69" s="296"/>
      <c r="FU69" s="296"/>
      <c r="FV69" s="296"/>
      <c r="FW69" s="296"/>
      <c r="FX69" s="296"/>
      <c r="FY69" s="296"/>
      <c r="FZ69" s="296"/>
      <c r="GA69" s="296"/>
      <c r="GB69" s="296"/>
      <c r="GC69" s="296"/>
      <c r="GD69" s="296"/>
      <c r="GE69" s="296"/>
      <c r="GF69" s="296"/>
      <c r="GG69" s="296"/>
      <c r="GH69" s="296"/>
      <c r="GI69" s="296"/>
      <c r="GJ69" s="296"/>
      <c r="GK69" s="296"/>
      <c r="GL69" s="296"/>
      <c r="GM69" s="296"/>
      <c r="GN69" s="296"/>
      <c r="GO69" s="296"/>
      <c r="GP69" s="296"/>
      <c r="GQ69" s="296"/>
      <c r="GR69" s="296"/>
      <c r="GS69" s="296"/>
      <c r="GT69" s="296"/>
      <c r="GU69" s="296"/>
      <c r="GV69" s="296"/>
      <c r="GW69" s="296"/>
      <c r="GX69" s="296"/>
      <c r="GY69" s="296"/>
      <c r="GZ69" s="296"/>
      <c r="HA69" s="296"/>
      <c r="HB69" s="296"/>
      <c r="HC69" s="296"/>
      <c r="HD69" s="296"/>
      <c r="HE69" s="296"/>
      <c r="HF69" s="296"/>
      <c r="HG69" s="296"/>
      <c r="HH69" s="296"/>
      <c r="HI69" s="296"/>
      <c r="HJ69" s="296"/>
      <c r="HK69" s="296"/>
      <c r="HL69" s="296"/>
      <c r="HM69" s="296"/>
      <c r="HN69" s="296"/>
      <c r="HO69" s="296"/>
      <c r="HP69" s="296"/>
      <c r="HQ69" s="296"/>
      <c r="HR69" s="296"/>
      <c r="HS69" s="296"/>
      <c r="HT69" s="296"/>
      <c r="HU69" s="296"/>
      <c r="HV69" s="296"/>
      <c r="HW69" s="296"/>
      <c r="HX69" s="296"/>
      <c r="HY69" s="296"/>
      <c r="HZ69" s="296"/>
      <c r="IA69" s="296"/>
      <c r="IB69" s="296"/>
      <c r="IC69" s="296"/>
      <c r="ID69" s="296"/>
      <c r="IE69" s="296"/>
      <c r="IF69" s="296"/>
      <c r="IG69" s="296"/>
      <c r="IH69" s="296"/>
      <c r="II69" s="296"/>
      <c r="IJ69" s="296"/>
      <c r="IK69" s="296"/>
      <c r="IL69" s="296"/>
      <c r="IM69" s="296"/>
      <c r="IN69" s="296"/>
      <c r="IO69" s="296"/>
      <c r="IP69" s="296"/>
      <c r="IQ69" s="296"/>
      <c r="IR69" s="296"/>
      <c r="IS69" s="296"/>
      <c r="IT69" s="296"/>
      <c r="IU69" s="296"/>
      <c r="IV69" s="296"/>
    </row>
    <row r="70" spans="1:256" customFormat="1" ht="12.75" customHeight="1">
      <c r="A70" s="296"/>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c r="CA70" s="296"/>
      <c r="CB70" s="296"/>
      <c r="CC70" s="296"/>
      <c r="CD70" s="296"/>
      <c r="CE70" s="296"/>
      <c r="CF70" s="296"/>
      <c r="CG70" s="296"/>
      <c r="CH70" s="296"/>
      <c r="CI70" s="296"/>
      <c r="CJ70" s="296"/>
      <c r="CK70" s="296"/>
      <c r="CL70" s="296"/>
      <c r="CM70" s="296"/>
      <c r="CN70" s="296"/>
      <c r="CO70" s="296"/>
      <c r="CP70" s="296"/>
      <c r="CQ70" s="296"/>
      <c r="CR70" s="296"/>
      <c r="CS70" s="296"/>
      <c r="CT70" s="296"/>
      <c r="CU70" s="296"/>
      <c r="CV70" s="296"/>
      <c r="CW70" s="296"/>
      <c r="CX70" s="296"/>
      <c r="CY70" s="296"/>
      <c r="CZ70" s="296"/>
      <c r="DA70" s="296"/>
      <c r="DB70" s="296"/>
      <c r="DC70" s="296"/>
      <c r="DD70" s="296"/>
      <c r="DE70" s="296"/>
      <c r="DF70" s="296"/>
      <c r="DG70" s="296"/>
      <c r="DH70" s="296"/>
      <c r="DI70" s="296"/>
      <c r="DJ70" s="296"/>
      <c r="DK70" s="296"/>
      <c r="DL70" s="296"/>
      <c r="DM70" s="296"/>
      <c r="DN70" s="296"/>
      <c r="DO70" s="296"/>
      <c r="DP70" s="296"/>
      <c r="DQ70" s="296"/>
      <c r="DR70" s="296"/>
      <c r="DS70" s="296"/>
      <c r="DT70" s="296"/>
      <c r="DU70" s="296"/>
      <c r="DV70" s="296"/>
      <c r="DW70" s="296"/>
      <c r="DX70" s="296"/>
      <c r="DY70" s="296"/>
      <c r="DZ70" s="296"/>
      <c r="EA70" s="296"/>
      <c r="EB70" s="296"/>
      <c r="EC70" s="296"/>
      <c r="ED70" s="296"/>
      <c r="EE70" s="296"/>
      <c r="EF70" s="296"/>
      <c r="EG70" s="296"/>
      <c r="EH70" s="296"/>
      <c r="EI70" s="296"/>
      <c r="EJ70" s="296"/>
      <c r="EK70" s="296"/>
      <c r="EL70" s="296"/>
      <c r="EM70" s="296"/>
      <c r="EN70" s="296"/>
      <c r="EO70" s="296"/>
      <c r="EP70" s="296"/>
      <c r="EQ70" s="296"/>
      <c r="ER70" s="296"/>
      <c r="ES70" s="296"/>
      <c r="ET70" s="296"/>
      <c r="EU70" s="296"/>
      <c r="EV70" s="296"/>
      <c r="EW70" s="296"/>
      <c r="EX70" s="296"/>
      <c r="EY70" s="296"/>
      <c r="EZ70" s="296"/>
      <c r="FA70" s="296"/>
      <c r="FB70" s="296"/>
      <c r="FC70" s="296"/>
      <c r="FD70" s="296"/>
      <c r="FE70" s="296"/>
      <c r="FF70" s="296"/>
      <c r="FG70" s="296"/>
      <c r="FH70" s="296"/>
      <c r="FI70" s="296"/>
      <c r="FJ70" s="296"/>
      <c r="FK70" s="296"/>
      <c r="FL70" s="296"/>
      <c r="FM70" s="296"/>
      <c r="FN70" s="296"/>
      <c r="FO70" s="296"/>
      <c r="FP70" s="296"/>
      <c r="FQ70" s="296"/>
      <c r="FR70" s="296"/>
      <c r="FS70" s="296"/>
      <c r="FT70" s="296"/>
      <c r="FU70" s="296"/>
      <c r="FV70" s="296"/>
      <c r="FW70" s="296"/>
      <c r="FX70" s="296"/>
      <c r="FY70" s="296"/>
      <c r="FZ70" s="296"/>
      <c r="GA70" s="296"/>
      <c r="GB70" s="296"/>
      <c r="GC70" s="296"/>
      <c r="GD70" s="296"/>
      <c r="GE70" s="296"/>
      <c r="GF70" s="296"/>
      <c r="GG70" s="296"/>
      <c r="GH70" s="296"/>
      <c r="GI70" s="296"/>
      <c r="GJ70" s="296"/>
      <c r="GK70" s="296"/>
      <c r="GL70" s="296"/>
      <c r="GM70" s="296"/>
      <c r="GN70" s="296"/>
      <c r="GO70" s="296"/>
      <c r="GP70" s="296"/>
      <c r="GQ70" s="296"/>
      <c r="GR70" s="296"/>
      <c r="GS70" s="296"/>
      <c r="GT70" s="296"/>
      <c r="GU70" s="296"/>
      <c r="GV70" s="296"/>
      <c r="GW70" s="296"/>
      <c r="GX70" s="296"/>
      <c r="GY70" s="296"/>
      <c r="GZ70" s="296"/>
      <c r="HA70" s="296"/>
      <c r="HB70" s="296"/>
      <c r="HC70" s="296"/>
      <c r="HD70" s="296"/>
      <c r="HE70" s="296"/>
      <c r="HF70" s="296"/>
      <c r="HG70" s="296"/>
      <c r="HH70" s="296"/>
      <c r="HI70" s="296"/>
      <c r="HJ70" s="296"/>
      <c r="HK70" s="296"/>
      <c r="HL70" s="296"/>
      <c r="HM70" s="296"/>
      <c r="HN70" s="296"/>
      <c r="HO70" s="296"/>
      <c r="HP70" s="296"/>
      <c r="HQ70" s="296"/>
      <c r="HR70" s="296"/>
      <c r="HS70" s="296"/>
      <c r="HT70" s="296"/>
      <c r="HU70" s="296"/>
      <c r="HV70" s="296"/>
      <c r="HW70" s="296"/>
      <c r="HX70" s="296"/>
      <c r="HY70" s="296"/>
      <c r="HZ70" s="296"/>
      <c r="IA70" s="296"/>
      <c r="IB70" s="296"/>
      <c r="IC70" s="296"/>
      <c r="ID70" s="296"/>
      <c r="IE70" s="296"/>
      <c r="IF70" s="296"/>
      <c r="IG70" s="296"/>
      <c r="IH70" s="296"/>
      <c r="II70" s="296"/>
      <c r="IJ70" s="296"/>
      <c r="IK70" s="296"/>
      <c r="IL70" s="296"/>
      <c r="IM70" s="296"/>
      <c r="IN70" s="296"/>
      <c r="IO70" s="296"/>
      <c r="IP70" s="296"/>
      <c r="IQ70" s="296"/>
      <c r="IR70" s="296"/>
      <c r="IS70" s="296"/>
      <c r="IT70" s="296"/>
      <c r="IU70" s="296"/>
      <c r="IV70" s="296"/>
    </row>
    <row r="71" spans="1:256" customFormat="1" ht="12.75" customHeight="1">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c r="CA71" s="296"/>
      <c r="CB71" s="296"/>
      <c r="CC71" s="296"/>
      <c r="CD71" s="296"/>
      <c r="CE71" s="296"/>
      <c r="CF71" s="296"/>
      <c r="CG71" s="296"/>
      <c r="CH71" s="296"/>
      <c r="CI71" s="296"/>
      <c r="CJ71" s="296"/>
      <c r="CK71" s="296"/>
      <c r="CL71" s="296"/>
      <c r="CM71" s="296"/>
      <c r="CN71" s="296"/>
      <c r="CO71" s="296"/>
      <c r="CP71" s="296"/>
      <c r="CQ71" s="296"/>
      <c r="CR71" s="296"/>
      <c r="CS71" s="296"/>
      <c r="CT71" s="296"/>
      <c r="CU71" s="296"/>
      <c r="CV71" s="296"/>
      <c r="CW71" s="296"/>
      <c r="CX71" s="296"/>
      <c r="CY71" s="296"/>
      <c r="CZ71" s="296"/>
      <c r="DA71" s="296"/>
      <c r="DB71" s="296"/>
      <c r="DC71" s="296"/>
      <c r="DD71" s="296"/>
      <c r="DE71" s="296"/>
      <c r="DF71" s="296"/>
      <c r="DG71" s="296"/>
      <c r="DH71" s="296"/>
      <c r="DI71" s="296"/>
      <c r="DJ71" s="296"/>
      <c r="DK71" s="296"/>
      <c r="DL71" s="296"/>
      <c r="DM71" s="296"/>
      <c r="DN71" s="296"/>
      <c r="DO71" s="296"/>
      <c r="DP71" s="296"/>
      <c r="DQ71" s="296"/>
      <c r="DR71" s="296"/>
      <c r="DS71" s="296"/>
      <c r="DT71" s="296"/>
      <c r="DU71" s="296"/>
      <c r="DV71" s="296"/>
      <c r="DW71" s="296"/>
      <c r="DX71" s="296"/>
      <c r="DY71" s="296"/>
      <c r="DZ71" s="296"/>
      <c r="EA71" s="296"/>
      <c r="EB71" s="296"/>
      <c r="EC71" s="296"/>
      <c r="ED71" s="296"/>
      <c r="EE71" s="296"/>
      <c r="EF71" s="296"/>
      <c r="EG71" s="296"/>
      <c r="EH71" s="296"/>
      <c r="EI71" s="296"/>
      <c r="EJ71" s="296"/>
      <c r="EK71" s="296"/>
      <c r="EL71" s="296"/>
      <c r="EM71" s="296"/>
      <c r="EN71" s="296"/>
      <c r="EO71" s="296"/>
      <c r="EP71" s="296"/>
      <c r="EQ71" s="296"/>
      <c r="ER71" s="296"/>
      <c r="ES71" s="296"/>
      <c r="ET71" s="296"/>
      <c r="EU71" s="296"/>
      <c r="EV71" s="296"/>
      <c r="EW71" s="296"/>
      <c r="EX71" s="296"/>
      <c r="EY71" s="296"/>
      <c r="EZ71" s="296"/>
      <c r="FA71" s="296"/>
      <c r="FB71" s="296"/>
      <c r="FC71" s="296"/>
      <c r="FD71" s="296"/>
      <c r="FE71" s="296"/>
      <c r="FF71" s="296"/>
      <c r="FG71" s="296"/>
      <c r="FH71" s="296"/>
      <c r="FI71" s="296"/>
      <c r="FJ71" s="296"/>
      <c r="FK71" s="296"/>
      <c r="FL71" s="296"/>
      <c r="FM71" s="296"/>
      <c r="FN71" s="296"/>
      <c r="FO71" s="296"/>
      <c r="FP71" s="296"/>
      <c r="FQ71" s="296"/>
      <c r="FR71" s="296"/>
      <c r="FS71" s="296"/>
      <c r="FT71" s="296"/>
      <c r="FU71" s="296"/>
      <c r="FV71" s="296"/>
      <c r="FW71" s="296"/>
      <c r="FX71" s="296"/>
      <c r="FY71" s="296"/>
      <c r="FZ71" s="296"/>
      <c r="GA71" s="296"/>
      <c r="GB71" s="296"/>
      <c r="GC71" s="296"/>
      <c r="GD71" s="296"/>
      <c r="GE71" s="296"/>
      <c r="GF71" s="296"/>
      <c r="GG71" s="296"/>
      <c r="GH71" s="296"/>
      <c r="GI71" s="296"/>
      <c r="GJ71" s="296"/>
      <c r="GK71" s="296"/>
      <c r="GL71" s="296"/>
      <c r="GM71" s="296"/>
      <c r="GN71" s="296"/>
      <c r="GO71" s="296"/>
      <c r="GP71" s="296"/>
      <c r="GQ71" s="296"/>
      <c r="GR71" s="296"/>
      <c r="GS71" s="296"/>
      <c r="GT71" s="296"/>
      <c r="GU71" s="296"/>
      <c r="GV71" s="296"/>
      <c r="GW71" s="296"/>
      <c r="GX71" s="296"/>
      <c r="GY71" s="296"/>
      <c r="GZ71" s="296"/>
      <c r="HA71" s="296"/>
      <c r="HB71" s="296"/>
      <c r="HC71" s="296"/>
      <c r="HD71" s="296"/>
      <c r="HE71" s="296"/>
      <c r="HF71" s="296"/>
      <c r="HG71" s="296"/>
      <c r="HH71" s="296"/>
      <c r="HI71" s="296"/>
      <c r="HJ71" s="296"/>
      <c r="HK71" s="296"/>
      <c r="HL71" s="296"/>
      <c r="HM71" s="296"/>
      <c r="HN71" s="296"/>
      <c r="HO71" s="296"/>
      <c r="HP71" s="296"/>
      <c r="HQ71" s="296"/>
      <c r="HR71" s="296"/>
      <c r="HS71" s="296"/>
      <c r="HT71" s="296"/>
      <c r="HU71" s="296"/>
      <c r="HV71" s="296"/>
      <c r="HW71" s="296"/>
      <c r="HX71" s="296"/>
      <c r="HY71" s="296"/>
      <c r="HZ71" s="296"/>
      <c r="IA71" s="296"/>
      <c r="IB71" s="296"/>
      <c r="IC71" s="296"/>
      <c r="ID71" s="296"/>
      <c r="IE71" s="296"/>
      <c r="IF71" s="296"/>
      <c r="IG71" s="296"/>
      <c r="IH71" s="296"/>
      <c r="II71" s="296"/>
      <c r="IJ71" s="296"/>
      <c r="IK71" s="296"/>
      <c r="IL71" s="296"/>
      <c r="IM71" s="296"/>
      <c r="IN71" s="296"/>
      <c r="IO71" s="296"/>
      <c r="IP71" s="296"/>
      <c r="IQ71" s="296"/>
      <c r="IR71" s="296"/>
      <c r="IS71" s="296"/>
      <c r="IT71" s="296"/>
      <c r="IU71" s="296"/>
      <c r="IV71" s="296"/>
    </row>
    <row r="72" spans="1:256" customFormat="1" ht="12.75" customHeight="1">
      <c r="A72" s="296"/>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c r="CA72" s="296"/>
      <c r="CB72" s="296"/>
      <c r="CC72" s="296"/>
      <c r="CD72" s="296"/>
      <c r="CE72" s="296"/>
      <c r="CF72" s="296"/>
      <c r="CG72" s="296"/>
      <c r="CH72" s="296"/>
      <c r="CI72" s="296"/>
      <c r="CJ72" s="296"/>
      <c r="CK72" s="296"/>
      <c r="CL72" s="296"/>
      <c r="CM72" s="296"/>
      <c r="CN72" s="296"/>
      <c r="CO72" s="296"/>
      <c r="CP72" s="296"/>
      <c r="CQ72" s="296"/>
      <c r="CR72" s="296"/>
      <c r="CS72" s="296"/>
      <c r="CT72" s="296"/>
      <c r="CU72" s="296"/>
      <c r="CV72" s="296"/>
      <c r="CW72" s="296"/>
      <c r="CX72" s="296"/>
      <c r="CY72" s="296"/>
      <c r="CZ72" s="296"/>
      <c r="DA72" s="296"/>
      <c r="DB72" s="296"/>
      <c r="DC72" s="296"/>
      <c r="DD72" s="296"/>
      <c r="DE72" s="296"/>
      <c r="DF72" s="296"/>
      <c r="DG72" s="296"/>
      <c r="DH72" s="296"/>
      <c r="DI72" s="296"/>
      <c r="DJ72" s="296"/>
      <c r="DK72" s="296"/>
      <c r="DL72" s="296"/>
      <c r="DM72" s="296"/>
      <c r="DN72" s="296"/>
      <c r="DO72" s="296"/>
      <c r="DP72" s="296"/>
      <c r="DQ72" s="296"/>
      <c r="DR72" s="296"/>
      <c r="DS72" s="296"/>
      <c r="DT72" s="296"/>
      <c r="DU72" s="296"/>
      <c r="DV72" s="296"/>
      <c r="DW72" s="296"/>
      <c r="DX72" s="296"/>
      <c r="DY72" s="296"/>
      <c r="DZ72" s="296"/>
      <c r="EA72" s="296"/>
      <c r="EB72" s="296"/>
      <c r="EC72" s="296"/>
      <c r="ED72" s="296"/>
      <c r="EE72" s="296"/>
      <c r="EF72" s="296"/>
      <c r="EG72" s="296"/>
      <c r="EH72" s="296"/>
      <c r="EI72" s="296"/>
      <c r="EJ72" s="296"/>
      <c r="EK72" s="296"/>
      <c r="EL72" s="296"/>
      <c r="EM72" s="296"/>
      <c r="EN72" s="296"/>
      <c r="EO72" s="296"/>
      <c r="EP72" s="296"/>
      <c r="EQ72" s="296"/>
      <c r="ER72" s="296"/>
      <c r="ES72" s="296"/>
      <c r="ET72" s="296"/>
      <c r="EU72" s="296"/>
      <c r="EV72" s="296"/>
      <c r="EW72" s="296"/>
      <c r="EX72" s="296"/>
      <c r="EY72" s="296"/>
      <c r="EZ72" s="296"/>
      <c r="FA72" s="296"/>
      <c r="FB72" s="296"/>
      <c r="FC72" s="296"/>
      <c r="FD72" s="296"/>
      <c r="FE72" s="296"/>
      <c r="FF72" s="296"/>
      <c r="FG72" s="296"/>
      <c r="FH72" s="296"/>
      <c r="FI72" s="296"/>
      <c r="FJ72" s="296"/>
      <c r="FK72" s="296"/>
      <c r="FL72" s="296"/>
      <c r="FM72" s="296"/>
      <c r="FN72" s="296"/>
      <c r="FO72" s="296"/>
      <c r="FP72" s="296"/>
      <c r="FQ72" s="296"/>
      <c r="FR72" s="296"/>
      <c r="FS72" s="296"/>
      <c r="FT72" s="296"/>
      <c r="FU72" s="296"/>
      <c r="FV72" s="296"/>
      <c r="FW72" s="296"/>
      <c r="FX72" s="296"/>
      <c r="FY72" s="296"/>
      <c r="FZ72" s="296"/>
      <c r="GA72" s="296"/>
      <c r="GB72" s="296"/>
      <c r="GC72" s="296"/>
      <c r="GD72" s="296"/>
      <c r="GE72" s="296"/>
      <c r="GF72" s="296"/>
      <c r="GG72" s="296"/>
      <c r="GH72" s="296"/>
      <c r="GI72" s="296"/>
      <c r="GJ72" s="296"/>
      <c r="GK72" s="296"/>
      <c r="GL72" s="296"/>
      <c r="GM72" s="296"/>
      <c r="GN72" s="296"/>
      <c r="GO72" s="296"/>
      <c r="GP72" s="296"/>
      <c r="GQ72" s="296"/>
      <c r="GR72" s="296"/>
      <c r="GS72" s="296"/>
      <c r="GT72" s="296"/>
      <c r="GU72" s="296"/>
      <c r="GV72" s="296"/>
      <c r="GW72" s="296"/>
      <c r="GX72" s="296"/>
      <c r="GY72" s="296"/>
      <c r="GZ72" s="296"/>
      <c r="HA72" s="296"/>
      <c r="HB72" s="296"/>
      <c r="HC72" s="296"/>
      <c r="HD72" s="296"/>
      <c r="HE72" s="296"/>
      <c r="HF72" s="296"/>
      <c r="HG72" s="296"/>
      <c r="HH72" s="296"/>
      <c r="HI72" s="296"/>
      <c r="HJ72" s="296"/>
      <c r="HK72" s="296"/>
      <c r="HL72" s="296"/>
      <c r="HM72" s="296"/>
      <c r="HN72" s="296"/>
      <c r="HO72" s="296"/>
      <c r="HP72" s="296"/>
      <c r="HQ72" s="296"/>
      <c r="HR72" s="296"/>
      <c r="HS72" s="296"/>
      <c r="HT72" s="296"/>
      <c r="HU72" s="296"/>
      <c r="HV72" s="296"/>
      <c r="HW72" s="296"/>
      <c r="HX72" s="296"/>
      <c r="HY72" s="296"/>
      <c r="HZ72" s="296"/>
      <c r="IA72" s="296"/>
      <c r="IB72" s="296"/>
      <c r="IC72" s="296"/>
      <c r="ID72" s="296"/>
      <c r="IE72" s="296"/>
      <c r="IF72" s="296"/>
      <c r="IG72" s="296"/>
      <c r="IH72" s="296"/>
      <c r="II72" s="296"/>
      <c r="IJ72" s="296"/>
      <c r="IK72" s="296"/>
      <c r="IL72" s="296"/>
      <c r="IM72" s="296"/>
      <c r="IN72" s="296"/>
      <c r="IO72" s="296"/>
      <c r="IP72" s="296"/>
      <c r="IQ72" s="296"/>
      <c r="IR72" s="296"/>
      <c r="IS72" s="296"/>
      <c r="IT72" s="296"/>
      <c r="IU72" s="296"/>
      <c r="IV72" s="296"/>
    </row>
    <row r="73" spans="1:256" customFormat="1" ht="12.75" customHeight="1">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c r="CA73" s="296"/>
      <c r="CB73" s="296"/>
      <c r="CC73" s="296"/>
      <c r="CD73" s="296"/>
      <c r="CE73" s="296"/>
      <c r="CF73" s="296"/>
      <c r="CG73" s="296"/>
      <c r="CH73" s="296"/>
      <c r="CI73" s="296"/>
      <c r="CJ73" s="296"/>
      <c r="CK73" s="296"/>
      <c r="CL73" s="296"/>
      <c r="CM73" s="296"/>
      <c r="CN73" s="296"/>
      <c r="CO73" s="296"/>
      <c r="CP73" s="296"/>
      <c r="CQ73" s="296"/>
      <c r="CR73" s="296"/>
      <c r="CS73" s="296"/>
      <c r="CT73" s="296"/>
      <c r="CU73" s="296"/>
      <c r="CV73" s="296"/>
      <c r="CW73" s="296"/>
      <c r="CX73" s="296"/>
      <c r="CY73" s="296"/>
      <c r="CZ73" s="296"/>
      <c r="DA73" s="296"/>
      <c r="DB73" s="296"/>
      <c r="DC73" s="296"/>
      <c r="DD73" s="296"/>
      <c r="DE73" s="296"/>
      <c r="DF73" s="296"/>
      <c r="DG73" s="296"/>
      <c r="DH73" s="296"/>
      <c r="DI73" s="296"/>
      <c r="DJ73" s="296"/>
      <c r="DK73" s="296"/>
      <c r="DL73" s="296"/>
      <c r="DM73" s="296"/>
      <c r="DN73" s="296"/>
      <c r="DO73" s="296"/>
      <c r="DP73" s="296"/>
      <c r="DQ73" s="296"/>
      <c r="DR73" s="296"/>
      <c r="DS73" s="296"/>
      <c r="DT73" s="296"/>
      <c r="DU73" s="296"/>
      <c r="DV73" s="296"/>
      <c r="DW73" s="296"/>
      <c r="DX73" s="296"/>
      <c r="DY73" s="296"/>
      <c r="DZ73" s="296"/>
      <c r="EA73" s="296"/>
      <c r="EB73" s="296"/>
      <c r="EC73" s="296"/>
      <c r="ED73" s="296"/>
      <c r="EE73" s="296"/>
      <c r="EF73" s="296"/>
      <c r="EG73" s="296"/>
      <c r="EH73" s="296"/>
      <c r="EI73" s="296"/>
      <c r="EJ73" s="296"/>
      <c r="EK73" s="296"/>
      <c r="EL73" s="296"/>
      <c r="EM73" s="296"/>
      <c r="EN73" s="296"/>
      <c r="EO73" s="296"/>
      <c r="EP73" s="296"/>
      <c r="EQ73" s="296"/>
      <c r="ER73" s="296"/>
      <c r="ES73" s="296"/>
      <c r="ET73" s="296"/>
      <c r="EU73" s="296"/>
      <c r="EV73" s="296"/>
      <c r="EW73" s="296"/>
      <c r="EX73" s="296"/>
      <c r="EY73" s="296"/>
      <c r="EZ73" s="296"/>
      <c r="FA73" s="296"/>
      <c r="FB73" s="296"/>
      <c r="FC73" s="296"/>
      <c r="FD73" s="296"/>
      <c r="FE73" s="296"/>
      <c r="FF73" s="296"/>
      <c r="FG73" s="296"/>
      <c r="FH73" s="296"/>
      <c r="FI73" s="296"/>
      <c r="FJ73" s="296"/>
      <c r="FK73" s="296"/>
      <c r="FL73" s="296"/>
      <c r="FM73" s="296"/>
      <c r="FN73" s="296"/>
      <c r="FO73" s="296"/>
      <c r="FP73" s="296"/>
      <c r="FQ73" s="296"/>
      <c r="FR73" s="296"/>
      <c r="FS73" s="296"/>
      <c r="FT73" s="296"/>
      <c r="FU73" s="296"/>
      <c r="FV73" s="296"/>
      <c r="FW73" s="296"/>
      <c r="FX73" s="296"/>
      <c r="FY73" s="296"/>
      <c r="FZ73" s="296"/>
      <c r="GA73" s="296"/>
      <c r="GB73" s="296"/>
      <c r="GC73" s="296"/>
      <c r="GD73" s="296"/>
      <c r="GE73" s="296"/>
      <c r="GF73" s="296"/>
      <c r="GG73" s="296"/>
      <c r="GH73" s="296"/>
      <c r="GI73" s="296"/>
      <c r="GJ73" s="296"/>
      <c r="GK73" s="296"/>
      <c r="GL73" s="296"/>
      <c r="GM73" s="296"/>
      <c r="GN73" s="296"/>
      <c r="GO73" s="296"/>
      <c r="GP73" s="296"/>
      <c r="GQ73" s="296"/>
      <c r="GR73" s="296"/>
      <c r="GS73" s="296"/>
      <c r="GT73" s="296"/>
      <c r="GU73" s="296"/>
      <c r="GV73" s="296"/>
      <c r="GW73" s="296"/>
      <c r="GX73" s="296"/>
      <c r="GY73" s="296"/>
      <c r="GZ73" s="296"/>
      <c r="HA73" s="296"/>
      <c r="HB73" s="296"/>
      <c r="HC73" s="296"/>
      <c r="HD73" s="296"/>
      <c r="HE73" s="296"/>
      <c r="HF73" s="296"/>
      <c r="HG73" s="296"/>
      <c r="HH73" s="296"/>
      <c r="HI73" s="296"/>
      <c r="HJ73" s="296"/>
      <c r="HK73" s="296"/>
      <c r="HL73" s="296"/>
      <c r="HM73" s="296"/>
      <c r="HN73" s="296"/>
      <c r="HO73" s="296"/>
      <c r="HP73" s="296"/>
      <c r="HQ73" s="296"/>
      <c r="HR73" s="296"/>
      <c r="HS73" s="296"/>
      <c r="HT73" s="296"/>
      <c r="HU73" s="296"/>
      <c r="HV73" s="296"/>
      <c r="HW73" s="296"/>
      <c r="HX73" s="296"/>
      <c r="HY73" s="296"/>
      <c r="HZ73" s="296"/>
      <c r="IA73" s="296"/>
      <c r="IB73" s="296"/>
      <c r="IC73" s="296"/>
      <c r="ID73" s="296"/>
      <c r="IE73" s="296"/>
      <c r="IF73" s="296"/>
      <c r="IG73" s="296"/>
      <c r="IH73" s="296"/>
      <c r="II73" s="296"/>
      <c r="IJ73" s="296"/>
      <c r="IK73" s="296"/>
      <c r="IL73" s="296"/>
      <c r="IM73" s="296"/>
      <c r="IN73" s="296"/>
      <c r="IO73" s="296"/>
      <c r="IP73" s="296"/>
      <c r="IQ73" s="296"/>
      <c r="IR73" s="296"/>
      <c r="IS73" s="296"/>
      <c r="IT73" s="296"/>
      <c r="IU73" s="296"/>
      <c r="IV73" s="296"/>
    </row>
    <row r="74" spans="1:256" customFormat="1" ht="12.75" customHeight="1">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c r="CA74" s="296"/>
      <c r="CB74" s="296"/>
      <c r="CC74" s="296"/>
      <c r="CD74" s="296"/>
      <c r="CE74" s="296"/>
      <c r="CF74" s="296"/>
      <c r="CG74" s="296"/>
      <c r="CH74" s="296"/>
      <c r="CI74" s="296"/>
      <c r="CJ74" s="296"/>
      <c r="CK74" s="296"/>
      <c r="CL74" s="296"/>
      <c r="CM74" s="296"/>
      <c r="CN74" s="296"/>
      <c r="CO74" s="296"/>
      <c r="CP74" s="296"/>
      <c r="CQ74" s="296"/>
      <c r="CR74" s="296"/>
      <c r="CS74" s="296"/>
      <c r="CT74" s="296"/>
      <c r="CU74" s="296"/>
      <c r="CV74" s="296"/>
      <c r="CW74" s="296"/>
      <c r="CX74" s="296"/>
      <c r="CY74" s="296"/>
      <c r="CZ74" s="296"/>
      <c r="DA74" s="296"/>
      <c r="DB74" s="296"/>
      <c r="DC74" s="296"/>
      <c r="DD74" s="296"/>
      <c r="DE74" s="296"/>
      <c r="DF74" s="296"/>
      <c r="DG74" s="296"/>
      <c r="DH74" s="296"/>
      <c r="DI74" s="296"/>
      <c r="DJ74" s="296"/>
      <c r="DK74" s="296"/>
      <c r="DL74" s="296"/>
      <c r="DM74" s="296"/>
      <c r="DN74" s="296"/>
      <c r="DO74" s="296"/>
      <c r="DP74" s="296"/>
      <c r="DQ74" s="296"/>
      <c r="DR74" s="296"/>
      <c r="DS74" s="296"/>
      <c r="DT74" s="296"/>
      <c r="DU74" s="296"/>
      <c r="DV74" s="296"/>
      <c r="DW74" s="296"/>
      <c r="DX74" s="296"/>
      <c r="DY74" s="296"/>
      <c r="DZ74" s="296"/>
      <c r="EA74" s="296"/>
      <c r="EB74" s="296"/>
      <c r="EC74" s="296"/>
      <c r="ED74" s="296"/>
      <c r="EE74" s="296"/>
      <c r="EF74" s="296"/>
      <c r="EG74" s="296"/>
      <c r="EH74" s="296"/>
      <c r="EI74" s="296"/>
      <c r="EJ74" s="296"/>
      <c r="EK74" s="296"/>
      <c r="EL74" s="296"/>
      <c r="EM74" s="296"/>
      <c r="EN74" s="296"/>
      <c r="EO74" s="296"/>
      <c r="EP74" s="296"/>
      <c r="EQ74" s="296"/>
      <c r="ER74" s="296"/>
      <c r="ES74" s="296"/>
      <c r="ET74" s="296"/>
      <c r="EU74" s="296"/>
      <c r="EV74" s="296"/>
      <c r="EW74" s="296"/>
      <c r="EX74" s="296"/>
      <c r="EY74" s="296"/>
      <c r="EZ74" s="296"/>
      <c r="FA74" s="296"/>
      <c r="FB74" s="296"/>
      <c r="FC74" s="296"/>
      <c r="FD74" s="296"/>
      <c r="FE74" s="296"/>
      <c r="FF74" s="296"/>
      <c r="FG74" s="296"/>
      <c r="FH74" s="296"/>
      <c r="FI74" s="296"/>
      <c r="FJ74" s="296"/>
      <c r="FK74" s="296"/>
      <c r="FL74" s="296"/>
      <c r="FM74" s="296"/>
      <c r="FN74" s="296"/>
      <c r="FO74" s="296"/>
      <c r="FP74" s="296"/>
      <c r="FQ74" s="296"/>
      <c r="FR74" s="296"/>
      <c r="FS74" s="296"/>
      <c r="FT74" s="296"/>
      <c r="FU74" s="296"/>
      <c r="FV74" s="296"/>
      <c r="FW74" s="296"/>
      <c r="FX74" s="296"/>
      <c r="FY74" s="296"/>
      <c r="FZ74" s="296"/>
      <c r="GA74" s="296"/>
      <c r="GB74" s="296"/>
      <c r="GC74" s="296"/>
      <c r="GD74" s="296"/>
      <c r="GE74" s="296"/>
      <c r="GF74" s="296"/>
      <c r="GG74" s="296"/>
      <c r="GH74" s="296"/>
      <c r="GI74" s="296"/>
      <c r="GJ74" s="296"/>
      <c r="GK74" s="296"/>
      <c r="GL74" s="296"/>
      <c r="GM74" s="296"/>
      <c r="GN74" s="296"/>
      <c r="GO74" s="296"/>
      <c r="GP74" s="296"/>
      <c r="GQ74" s="296"/>
      <c r="GR74" s="296"/>
      <c r="GS74" s="296"/>
      <c r="GT74" s="296"/>
      <c r="GU74" s="296"/>
      <c r="GV74" s="296"/>
      <c r="GW74" s="296"/>
      <c r="GX74" s="296"/>
      <c r="GY74" s="296"/>
      <c r="GZ74" s="296"/>
      <c r="HA74" s="296"/>
      <c r="HB74" s="296"/>
      <c r="HC74" s="296"/>
      <c r="HD74" s="296"/>
      <c r="HE74" s="296"/>
      <c r="HF74" s="296"/>
      <c r="HG74" s="296"/>
      <c r="HH74" s="296"/>
      <c r="HI74" s="296"/>
      <c r="HJ74" s="296"/>
      <c r="HK74" s="296"/>
      <c r="HL74" s="296"/>
      <c r="HM74" s="296"/>
      <c r="HN74" s="296"/>
      <c r="HO74" s="296"/>
      <c r="HP74" s="296"/>
      <c r="HQ74" s="296"/>
      <c r="HR74" s="296"/>
      <c r="HS74" s="296"/>
      <c r="HT74" s="296"/>
      <c r="HU74" s="296"/>
      <c r="HV74" s="296"/>
      <c r="HW74" s="296"/>
      <c r="HX74" s="296"/>
      <c r="HY74" s="296"/>
      <c r="HZ74" s="296"/>
      <c r="IA74" s="296"/>
      <c r="IB74" s="296"/>
      <c r="IC74" s="296"/>
      <c r="ID74" s="296"/>
      <c r="IE74" s="296"/>
      <c r="IF74" s="296"/>
      <c r="IG74" s="296"/>
      <c r="IH74" s="296"/>
      <c r="II74" s="296"/>
      <c r="IJ74" s="296"/>
      <c r="IK74" s="296"/>
      <c r="IL74" s="296"/>
      <c r="IM74" s="296"/>
      <c r="IN74" s="296"/>
      <c r="IO74" s="296"/>
      <c r="IP74" s="296"/>
      <c r="IQ74" s="296"/>
      <c r="IR74" s="296"/>
      <c r="IS74" s="296"/>
      <c r="IT74" s="296"/>
      <c r="IU74" s="296"/>
      <c r="IV74" s="296"/>
    </row>
    <row r="75" spans="1:256" customFormat="1" ht="12.75" customHeight="1">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6"/>
      <c r="BQ75" s="296"/>
      <c r="BR75" s="296"/>
      <c r="BS75" s="296"/>
      <c r="BT75" s="296"/>
      <c r="BU75" s="296"/>
      <c r="BV75" s="296"/>
      <c r="BW75" s="296"/>
      <c r="BX75" s="296"/>
      <c r="BY75" s="296"/>
      <c r="BZ75" s="296"/>
      <c r="CA75" s="296"/>
      <c r="CB75" s="296"/>
      <c r="CC75" s="296"/>
      <c r="CD75" s="296"/>
      <c r="CE75" s="296"/>
      <c r="CF75" s="296"/>
      <c r="CG75" s="296"/>
      <c r="CH75" s="296"/>
      <c r="CI75" s="296"/>
      <c r="CJ75" s="296"/>
      <c r="CK75" s="296"/>
      <c r="CL75" s="296"/>
      <c r="CM75" s="296"/>
      <c r="CN75" s="296"/>
      <c r="CO75" s="296"/>
      <c r="CP75" s="296"/>
      <c r="CQ75" s="296"/>
      <c r="CR75" s="296"/>
      <c r="CS75" s="296"/>
      <c r="CT75" s="296"/>
      <c r="CU75" s="296"/>
      <c r="CV75" s="296"/>
      <c r="CW75" s="296"/>
      <c r="CX75" s="296"/>
      <c r="CY75" s="296"/>
      <c r="CZ75" s="296"/>
      <c r="DA75" s="296"/>
      <c r="DB75" s="296"/>
      <c r="DC75" s="296"/>
      <c r="DD75" s="296"/>
      <c r="DE75" s="296"/>
      <c r="DF75" s="296"/>
      <c r="DG75" s="296"/>
      <c r="DH75" s="296"/>
      <c r="DI75" s="296"/>
      <c r="DJ75" s="296"/>
      <c r="DK75" s="296"/>
      <c r="DL75" s="296"/>
      <c r="DM75" s="296"/>
      <c r="DN75" s="296"/>
      <c r="DO75" s="296"/>
      <c r="DP75" s="296"/>
      <c r="DQ75" s="296"/>
      <c r="DR75" s="296"/>
      <c r="DS75" s="296"/>
      <c r="DT75" s="296"/>
      <c r="DU75" s="296"/>
      <c r="DV75" s="296"/>
      <c r="DW75" s="296"/>
      <c r="DX75" s="296"/>
      <c r="DY75" s="296"/>
      <c r="DZ75" s="296"/>
      <c r="EA75" s="296"/>
      <c r="EB75" s="296"/>
      <c r="EC75" s="296"/>
      <c r="ED75" s="296"/>
      <c r="EE75" s="296"/>
      <c r="EF75" s="296"/>
      <c r="EG75" s="296"/>
      <c r="EH75" s="296"/>
      <c r="EI75" s="296"/>
      <c r="EJ75" s="296"/>
      <c r="EK75" s="296"/>
      <c r="EL75" s="296"/>
      <c r="EM75" s="296"/>
      <c r="EN75" s="296"/>
      <c r="EO75" s="296"/>
      <c r="EP75" s="296"/>
      <c r="EQ75" s="296"/>
      <c r="ER75" s="296"/>
      <c r="ES75" s="296"/>
      <c r="ET75" s="296"/>
      <c r="EU75" s="296"/>
      <c r="EV75" s="296"/>
      <c r="EW75" s="296"/>
      <c r="EX75" s="296"/>
      <c r="EY75" s="296"/>
      <c r="EZ75" s="296"/>
      <c r="FA75" s="296"/>
      <c r="FB75" s="296"/>
      <c r="FC75" s="296"/>
      <c r="FD75" s="296"/>
      <c r="FE75" s="296"/>
      <c r="FF75" s="296"/>
      <c r="FG75" s="296"/>
      <c r="FH75" s="296"/>
      <c r="FI75" s="296"/>
      <c r="FJ75" s="296"/>
      <c r="FK75" s="296"/>
      <c r="FL75" s="296"/>
      <c r="FM75" s="296"/>
      <c r="FN75" s="296"/>
      <c r="FO75" s="296"/>
      <c r="FP75" s="296"/>
      <c r="FQ75" s="296"/>
      <c r="FR75" s="296"/>
      <c r="FS75" s="296"/>
      <c r="FT75" s="296"/>
      <c r="FU75" s="296"/>
      <c r="FV75" s="296"/>
      <c r="FW75" s="296"/>
      <c r="FX75" s="296"/>
      <c r="FY75" s="296"/>
      <c r="FZ75" s="296"/>
      <c r="GA75" s="296"/>
      <c r="GB75" s="296"/>
      <c r="GC75" s="296"/>
      <c r="GD75" s="296"/>
      <c r="GE75" s="296"/>
      <c r="GF75" s="296"/>
      <c r="GG75" s="296"/>
      <c r="GH75" s="296"/>
      <c r="GI75" s="296"/>
      <c r="GJ75" s="296"/>
      <c r="GK75" s="296"/>
      <c r="GL75" s="296"/>
      <c r="GM75" s="296"/>
      <c r="GN75" s="296"/>
      <c r="GO75" s="296"/>
      <c r="GP75" s="296"/>
      <c r="GQ75" s="296"/>
      <c r="GR75" s="296"/>
      <c r="GS75" s="296"/>
      <c r="GT75" s="296"/>
      <c r="GU75" s="296"/>
      <c r="GV75" s="296"/>
      <c r="GW75" s="296"/>
      <c r="GX75" s="296"/>
      <c r="GY75" s="296"/>
      <c r="GZ75" s="296"/>
      <c r="HA75" s="296"/>
      <c r="HB75" s="296"/>
      <c r="HC75" s="296"/>
      <c r="HD75" s="296"/>
      <c r="HE75" s="296"/>
      <c r="HF75" s="296"/>
      <c r="HG75" s="296"/>
      <c r="HH75" s="296"/>
      <c r="HI75" s="296"/>
      <c r="HJ75" s="296"/>
      <c r="HK75" s="296"/>
      <c r="HL75" s="296"/>
      <c r="HM75" s="296"/>
      <c r="HN75" s="296"/>
      <c r="HO75" s="296"/>
      <c r="HP75" s="296"/>
      <c r="HQ75" s="296"/>
      <c r="HR75" s="296"/>
      <c r="HS75" s="296"/>
      <c r="HT75" s="296"/>
      <c r="HU75" s="296"/>
      <c r="HV75" s="296"/>
      <c r="HW75" s="296"/>
      <c r="HX75" s="296"/>
      <c r="HY75" s="296"/>
      <c r="HZ75" s="296"/>
      <c r="IA75" s="296"/>
      <c r="IB75" s="296"/>
      <c r="IC75" s="296"/>
      <c r="ID75" s="296"/>
      <c r="IE75" s="296"/>
      <c r="IF75" s="296"/>
      <c r="IG75" s="296"/>
      <c r="IH75" s="296"/>
      <c r="II75" s="296"/>
      <c r="IJ75" s="296"/>
      <c r="IK75" s="296"/>
      <c r="IL75" s="296"/>
      <c r="IM75" s="296"/>
      <c r="IN75" s="296"/>
      <c r="IO75" s="296"/>
      <c r="IP75" s="296"/>
      <c r="IQ75" s="296"/>
      <c r="IR75" s="296"/>
      <c r="IS75" s="296"/>
      <c r="IT75" s="296"/>
      <c r="IU75" s="296"/>
      <c r="IV75" s="296"/>
    </row>
    <row r="76" spans="1:256" customFormat="1" ht="12.75" customHeight="1">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c r="BQ76" s="296"/>
      <c r="BR76" s="296"/>
      <c r="BS76" s="296"/>
      <c r="BT76" s="296"/>
      <c r="BU76" s="296"/>
      <c r="BV76" s="296"/>
      <c r="BW76" s="296"/>
      <c r="BX76" s="296"/>
      <c r="BY76" s="296"/>
      <c r="BZ76" s="296"/>
      <c r="CA76" s="296"/>
      <c r="CB76" s="296"/>
      <c r="CC76" s="296"/>
      <c r="CD76" s="296"/>
      <c r="CE76" s="296"/>
      <c r="CF76" s="296"/>
      <c r="CG76" s="296"/>
      <c r="CH76" s="296"/>
      <c r="CI76" s="296"/>
      <c r="CJ76" s="296"/>
      <c r="CK76" s="296"/>
      <c r="CL76" s="296"/>
      <c r="CM76" s="296"/>
      <c r="CN76" s="296"/>
      <c r="CO76" s="296"/>
      <c r="CP76" s="296"/>
      <c r="CQ76" s="296"/>
      <c r="CR76" s="296"/>
      <c r="CS76" s="296"/>
      <c r="CT76" s="296"/>
      <c r="CU76" s="296"/>
      <c r="CV76" s="296"/>
      <c r="CW76" s="296"/>
      <c r="CX76" s="296"/>
      <c r="CY76" s="296"/>
      <c r="CZ76" s="296"/>
      <c r="DA76" s="296"/>
      <c r="DB76" s="296"/>
      <c r="DC76" s="296"/>
      <c r="DD76" s="296"/>
      <c r="DE76" s="296"/>
      <c r="DF76" s="296"/>
      <c r="DG76" s="296"/>
      <c r="DH76" s="296"/>
      <c r="DI76" s="296"/>
      <c r="DJ76" s="296"/>
      <c r="DK76" s="296"/>
      <c r="DL76" s="296"/>
      <c r="DM76" s="296"/>
      <c r="DN76" s="296"/>
      <c r="DO76" s="296"/>
      <c r="DP76" s="296"/>
      <c r="DQ76" s="296"/>
      <c r="DR76" s="296"/>
      <c r="DS76" s="296"/>
      <c r="DT76" s="296"/>
      <c r="DU76" s="296"/>
      <c r="DV76" s="296"/>
      <c r="DW76" s="296"/>
      <c r="DX76" s="296"/>
      <c r="DY76" s="296"/>
      <c r="DZ76" s="296"/>
      <c r="EA76" s="296"/>
      <c r="EB76" s="296"/>
      <c r="EC76" s="296"/>
      <c r="ED76" s="296"/>
      <c r="EE76" s="296"/>
      <c r="EF76" s="296"/>
      <c r="EG76" s="296"/>
      <c r="EH76" s="296"/>
      <c r="EI76" s="296"/>
      <c r="EJ76" s="296"/>
      <c r="EK76" s="296"/>
      <c r="EL76" s="296"/>
      <c r="EM76" s="296"/>
      <c r="EN76" s="296"/>
      <c r="EO76" s="296"/>
      <c r="EP76" s="296"/>
      <c r="EQ76" s="296"/>
      <c r="ER76" s="296"/>
      <c r="ES76" s="296"/>
      <c r="ET76" s="296"/>
      <c r="EU76" s="296"/>
      <c r="EV76" s="296"/>
      <c r="EW76" s="296"/>
      <c r="EX76" s="296"/>
      <c r="EY76" s="296"/>
      <c r="EZ76" s="296"/>
      <c r="FA76" s="296"/>
      <c r="FB76" s="296"/>
      <c r="FC76" s="296"/>
      <c r="FD76" s="296"/>
      <c r="FE76" s="296"/>
      <c r="FF76" s="296"/>
      <c r="FG76" s="296"/>
      <c r="FH76" s="296"/>
      <c r="FI76" s="296"/>
      <c r="FJ76" s="296"/>
      <c r="FK76" s="296"/>
      <c r="FL76" s="296"/>
      <c r="FM76" s="296"/>
      <c r="FN76" s="296"/>
      <c r="FO76" s="296"/>
      <c r="FP76" s="296"/>
      <c r="FQ76" s="296"/>
      <c r="FR76" s="296"/>
      <c r="FS76" s="296"/>
      <c r="FT76" s="296"/>
      <c r="FU76" s="296"/>
      <c r="FV76" s="296"/>
      <c r="FW76" s="296"/>
      <c r="FX76" s="296"/>
      <c r="FY76" s="296"/>
      <c r="FZ76" s="296"/>
      <c r="GA76" s="296"/>
      <c r="GB76" s="296"/>
      <c r="GC76" s="296"/>
      <c r="GD76" s="296"/>
      <c r="GE76" s="296"/>
      <c r="GF76" s="296"/>
      <c r="GG76" s="296"/>
      <c r="GH76" s="296"/>
      <c r="GI76" s="296"/>
      <c r="GJ76" s="296"/>
      <c r="GK76" s="296"/>
      <c r="GL76" s="296"/>
      <c r="GM76" s="296"/>
      <c r="GN76" s="296"/>
      <c r="GO76" s="296"/>
      <c r="GP76" s="296"/>
      <c r="GQ76" s="296"/>
      <c r="GR76" s="296"/>
      <c r="GS76" s="296"/>
      <c r="GT76" s="296"/>
      <c r="GU76" s="296"/>
      <c r="GV76" s="296"/>
      <c r="GW76" s="296"/>
      <c r="GX76" s="296"/>
      <c r="GY76" s="296"/>
      <c r="GZ76" s="296"/>
      <c r="HA76" s="296"/>
      <c r="HB76" s="296"/>
      <c r="HC76" s="296"/>
      <c r="HD76" s="296"/>
      <c r="HE76" s="296"/>
      <c r="HF76" s="296"/>
      <c r="HG76" s="296"/>
      <c r="HH76" s="296"/>
      <c r="HI76" s="296"/>
      <c r="HJ76" s="296"/>
      <c r="HK76" s="296"/>
      <c r="HL76" s="296"/>
      <c r="HM76" s="296"/>
      <c r="HN76" s="296"/>
      <c r="HO76" s="296"/>
      <c r="HP76" s="296"/>
      <c r="HQ76" s="296"/>
      <c r="HR76" s="296"/>
      <c r="HS76" s="296"/>
      <c r="HT76" s="296"/>
      <c r="HU76" s="296"/>
      <c r="HV76" s="296"/>
      <c r="HW76" s="296"/>
      <c r="HX76" s="296"/>
      <c r="HY76" s="296"/>
      <c r="HZ76" s="296"/>
      <c r="IA76" s="296"/>
      <c r="IB76" s="296"/>
      <c r="IC76" s="296"/>
      <c r="ID76" s="296"/>
      <c r="IE76" s="296"/>
      <c r="IF76" s="296"/>
      <c r="IG76" s="296"/>
      <c r="IH76" s="296"/>
      <c r="II76" s="296"/>
      <c r="IJ76" s="296"/>
      <c r="IK76" s="296"/>
      <c r="IL76" s="296"/>
      <c r="IM76" s="296"/>
      <c r="IN76" s="296"/>
      <c r="IO76" s="296"/>
      <c r="IP76" s="296"/>
      <c r="IQ76" s="296"/>
      <c r="IR76" s="296"/>
      <c r="IS76" s="296"/>
      <c r="IT76" s="296"/>
      <c r="IU76" s="296"/>
      <c r="IV76" s="296"/>
    </row>
    <row r="77" spans="1:256" customFormat="1" ht="12.75" customHeight="1">
      <c r="A77" s="296"/>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c r="DC77" s="296"/>
      <c r="DD77" s="296"/>
      <c r="DE77" s="296"/>
      <c r="DF77" s="296"/>
      <c r="DG77" s="296"/>
      <c r="DH77" s="296"/>
      <c r="DI77" s="296"/>
      <c r="DJ77" s="296"/>
      <c r="DK77" s="296"/>
      <c r="DL77" s="296"/>
      <c r="DM77" s="296"/>
      <c r="DN77" s="296"/>
      <c r="DO77" s="296"/>
      <c r="DP77" s="296"/>
      <c r="DQ77" s="296"/>
      <c r="DR77" s="296"/>
      <c r="DS77" s="296"/>
      <c r="DT77" s="296"/>
      <c r="DU77" s="296"/>
      <c r="DV77" s="296"/>
      <c r="DW77" s="296"/>
      <c r="DX77" s="296"/>
      <c r="DY77" s="296"/>
      <c r="DZ77" s="296"/>
      <c r="EA77" s="296"/>
      <c r="EB77" s="296"/>
      <c r="EC77" s="296"/>
      <c r="ED77" s="296"/>
      <c r="EE77" s="296"/>
      <c r="EF77" s="296"/>
      <c r="EG77" s="296"/>
      <c r="EH77" s="296"/>
      <c r="EI77" s="296"/>
      <c r="EJ77" s="296"/>
      <c r="EK77" s="296"/>
      <c r="EL77" s="296"/>
      <c r="EM77" s="296"/>
      <c r="EN77" s="296"/>
      <c r="EO77" s="296"/>
      <c r="EP77" s="296"/>
      <c r="EQ77" s="296"/>
      <c r="ER77" s="296"/>
      <c r="ES77" s="296"/>
      <c r="ET77" s="296"/>
      <c r="EU77" s="296"/>
      <c r="EV77" s="296"/>
      <c r="EW77" s="296"/>
      <c r="EX77" s="296"/>
      <c r="EY77" s="296"/>
      <c r="EZ77" s="296"/>
      <c r="FA77" s="296"/>
      <c r="FB77" s="296"/>
      <c r="FC77" s="296"/>
      <c r="FD77" s="296"/>
      <c r="FE77" s="296"/>
      <c r="FF77" s="296"/>
      <c r="FG77" s="296"/>
      <c r="FH77" s="296"/>
      <c r="FI77" s="296"/>
      <c r="FJ77" s="296"/>
      <c r="FK77" s="296"/>
      <c r="FL77" s="296"/>
      <c r="FM77" s="296"/>
      <c r="FN77" s="296"/>
      <c r="FO77" s="296"/>
      <c r="FP77" s="296"/>
      <c r="FQ77" s="296"/>
      <c r="FR77" s="296"/>
      <c r="FS77" s="296"/>
      <c r="FT77" s="296"/>
      <c r="FU77" s="296"/>
      <c r="FV77" s="296"/>
      <c r="FW77" s="296"/>
      <c r="FX77" s="296"/>
      <c r="FY77" s="296"/>
      <c r="FZ77" s="296"/>
      <c r="GA77" s="296"/>
      <c r="GB77" s="296"/>
      <c r="GC77" s="296"/>
      <c r="GD77" s="296"/>
      <c r="GE77" s="296"/>
      <c r="GF77" s="296"/>
      <c r="GG77" s="296"/>
      <c r="GH77" s="296"/>
      <c r="GI77" s="296"/>
      <c r="GJ77" s="296"/>
      <c r="GK77" s="296"/>
      <c r="GL77" s="296"/>
      <c r="GM77" s="296"/>
      <c r="GN77" s="296"/>
      <c r="GO77" s="296"/>
      <c r="GP77" s="296"/>
      <c r="GQ77" s="296"/>
      <c r="GR77" s="296"/>
      <c r="GS77" s="296"/>
      <c r="GT77" s="296"/>
      <c r="GU77" s="296"/>
      <c r="GV77" s="296"/>
      <c r="GW77" s="296"/>
      <c r="GX77" s="296"/>
      <c r="GY77" s="296"/>
      <c r="GZ77" s="296"/>
      <c r="HA77" s="296"/>
      <c r="HB77" s="296"/>
      <c r="HC77" s="296"/>
      <c r="HD77" s="296"/>
      <c r="HE77" s="296"/>
      <c r="HF77" s="296"/>
      <c r="HG77" s="296"/>
      <c r="HH77" s="296"/>
      <c r="HI77" s="296"/>
      <c r="HJ77" s="296"/>
      <c r="HK77" s="296"/>
      <c r="HL77" s="296"/>
      <c r="HM77" s="296"/>
      <c r="HN77" s="296"/>
      <c r="HO77" s="296"/>
      <c r="HP77" s="296"/>
      <c r="HQ77" s="296"/>
      <c r="HR77" s="296"/>
      <c r="HS77" s="296"/>
      <c r="HT77" s="296"/>
      <c r="HU77" s="296"/>
      <c r="HV77" s="296"/>
      <c r="HW77" s="296"/>
      <c r="HX77" s="296"/>
      <c r="HY77" s="296"/>
      <c r="HZ77" s="296"/>
      <c r="IA77" s="296"/>
      <c r="IB77" s="296"/>
      <c r="IC77" s="296"/>
      <c r="ID77" s="296"/>
      <c r="IE77" s="296"/>
      <c r="IF77" s="296"/>
      <c r="IG77" s="296"/>
      <c r="IH77" s="296"/>
      <c r="II77" s="296"/>
      <c r="IJ77" s="296"/>
      <c r="IK77" s="296"/>
      <c r="IL77" s="296"/>
      <c r="IM77" s="296"/>
      <c r="IN77" s="296"/>
      <c r="IO77" s="296"/>
      <c r="IP77" s="296"/>
      <c r="IQ77" s="296"/>
      <c r="IR77" s="296"/>
      <c r="IS77" s="296"/>
      <c r="IT77" s="296"/>
      <c r="IU77" s="296"/>
      <c r="IV77" s="296"/>
    </row>
    <row r="78" spans="1:256" customFormat="1" ht="12.75" customHeight="1">
      <c r="A78" s="296"/>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6"/>
      <c r="CZ78" s="296"/>
      <c r="DA78" s="296"/>
      <c r="DB78" s="296"/>
      <c r="DC78" s="296"/>
      <c r="DD78" s="296"/>
      <c r="DE78" s="296"/>
      <c r="DF78" s="296"/>
      <c r="DG78" s="296"/>
      <c r="DH78" s="296"/>
      <c r="DI78" s="296"/>
      <c r="DJ78" s="296"/>
      <c r="DK78" s="296"/>
      <c r="DL78" s="296"/>
      <c r="DM78" s="296"/>
      <c r="DN78" s="296"/>
      <c r="DO78" s="296"/>
      <c r="DP78" s="296"/>
      <c r="DQ78" s="296"/>
      <c r="DR78" s="296"/>
      <c r="DS78" s="296"/>
      <c r="DT78" s="296"/>
      <c r="DU78" s="296"/>
      <c r="DV78" s="296"/>
      <c r="DW78" s="296"/>
      <c r="DX78" s="296"/>
      <c r="DY78" s="296"/>
      <c r="DZ78" s="296"/>
      <c r="EA78" s="296"/>
      <c r="EB78" s="296"/>
      <c r="EC78" s="296"/>
      <c r="ED78" s="296"/>
      <c r="EE78" s="296"/>
      <c r="EF78" s="296"/>
      <c r="EG78" s="296"/>
      <c r="EH78" s="296"/>
      <c r="EI78" s="296"/>
      <c r="EJ78" s="296"/>
      <c r="EK78" s="296"/>
      <c r="EL78" s="296"/>
      <c r="EM78" s="296"/>
      <c r="EN78" s="296"/>
      <c r="EO78" s="296"/>
      <c r="EP78" s="296"/>
      <c r="EQ78" s="296"/>
      <c r="ER78" s="296"/>
      <c r="ES78" s="296"/>
      <c r="ET78" s="296"/>
      <c r="EU78" s="296"/>
      <c r="EV78" s="296"/>
      <c r="EW78" s="296"/>
      <c r="EX78" s="296"/>
      <c r="EY78" s="296"/>
      <c r="EZ78" s="296"/>
      <c r="FA78" s="296"/>
      <c r="FB78" s="296"/>
      <c r="FC78" s="296"/>
      <c r="FD78" s="296"/>
      <c r="FE78" s="296"/>
      <c r="FF78" s="296"/>
      <c r="FG78" s="296"/>
      <c r="FH78" s="296"/>
      <c r="FI78" s="296"/>
      <c r="FJ78" s="296"/>
      <c r="FK78" s="296"/>
      <c r="FL78" s="296"/>
      <c r="FM78" s="296"/>
      <c r="FN78" s="296"/>
      <c r="FO78" s="296"/>
      <c r="FP78" s="296"/>
      <c r="FQ78" s="296"/>
      <c r="FR78" s="296"/>
      <c r="FS78" s="296"/>
      <c r="FT78" s="296"/>
      <c r="FU78" s="296"/>
      <c r="FV78" s="296"/>
      <c r="FW78" s="296"/>
      <c r="FX78" s="296"/>
      <c r="FY78" s="296"/>
      <c r="FZ78" s="296"/>
      <c r="GA78" s="296"/>
      <c r="GB78" s="296"/>
      <c r="GC78" s="296"/>
      <c r="GD78" s="296"/>
      <c r="GE78" s="296"/>
      <c r="GF78" s="296"/>
      <c r="GG78" s="296"/>
      <c r="GH78" s="296"/>
      <c r="GI78" s="296"/>
      <c r="GJ78" s="296"/>
      <c r="GK78" s="296"/>
      <c r="GL78" s="296"/>
      <c r="GM78" s="296"/>
      <c r="GN78" s="296"/>
      <c r="GO78" s="296"/>
      <c r="GP78" s="296"/>
      <c r="GQ78" s="296"/>
      <c r="GR78" s="296"/>
      <c r="GS78" s="296"/>
      <c r="GT78" s="296"/>
      <c r="GU78" s="296"/>
      <c r="GV78" s="296"/>
      <c r="GW78" s="296"/>
      <c r="GX78" s="296"/>
      <c r="GY78" s="296"/>
      <c r="GZ78" s="296"/>
      <c r="HA78" s="296"/>
      <c r="HB78" s="296"/>
      <c r="HC78" s="296"/>
      <c r="HD78" s="296"/>
      <c r="HE78" s="296"/>
      <c r="HF78" s="296"/>
      <c r="HG78" s="296"/>
      <c r="HH78" s="296"/>
      <c r="HI78" s="296"/>
      <c r="HJ78" s="296"/>
      <c r="HK78" s="296"/>
      <c r="HL78" s="296"/>
      <c r="HM78" s="296"/>
      <c r="HN78" s="296"/>
      <c r="HO78" s="296"/>
      <c r="HP78" s="296"/>
      <c r="HQ78" s="296"/>
      <c r="HR78" s="296"/>
      <c r="HS78" s="296"/>
      <c r="HT78" s="296"/>
      <c r="HU78" s="296"/>
      <c r="HV78" s="296"/>
      <c r="HW78" s="296"/>
      <c r="HX78" s="296"/>
      <c r="HY78" s="296"/>
      <c r="HZ78" s="296"/>
      <c r="IA78" s="296"/>
      <c r="IB78" s="296"/>
      <c r="IC78" s="296"/>
      <c r="ID78" s="296"/>
      <c r="IE78" s="296"/>
      <c r="IF78" s="296"/>
      <c r="IG78" s="296"/>
      <c r="IH78" s="296"/>
      <c r="II78" s="296"/>
      <c r="IJ78" s="296"/>
      <c r="IK78" s="296"/>
      <c r="IL78" s="296"/>
      <c r="IM78" s="296"/>
      <c r="IN78" s="296"/>
      <c r="IO78" s="296"/>
      <c r="IP78" s="296"/>
      <c r="IQ78" s="296"/>
      <c r="IR78" s="296"/>
      <c r="IS78" s="296"/>
      <c r="IT78" s="296"/>
      <c r="IU78" s="296"/>
      <c r="IV78" s="296"/>
    </row>
    <row r="79" spans="1:256" customFormat="1" ht="12.75" customHeight="1">
      <c r="A79" s="296"/>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296"/>
      <c r="CZ79" s="296"/>
      <c r="DA79" s="296"/>
      <c r="DB79" s="296"/>
      <c r="DC79" s="296"/>
      <c r="DD79" s="296"/>
      <c r="DE79" s="296"/>
      <c r="DF79" s="296"/>
      <c r="DG79" s="296"/>
      <c r="DH79" s="296"/>
      <c r="DI79" s="296"/>
      <c r="DJ79" s="296"/>
      <c r="DK79" s="296"/>
      <c r="DL79" s="296"/>
      <c r="DM79" s="296"/>
      <c r="DN79" s="296"/>
      <c r="DO79" s="296"/>
      <c r="DP79" s="296"/>
      <c r="DQ79" s="296"/>
      <c r="DR79" s="296"/>
      <c r="DS79" s="296"/>
      <c r="DT79" s="296"/>
      <c r="DU79" s="296"/>
      <c r="DV79" s="296"/>
      <c r="DW79" s="296"/>
      <c r="DX79" s="296"/>
      <c r="DY79" s="296"/>
      <c r="DZ79" s="296"/>
      <c r="EA79" s="296"/>
      <c r="EB79" s="296"/>
      <c r="EC79" s="296"/>
      <c r="ED79" s="296"/>
      <c r="EE79" s="296"/>
      <c r="EF79" s="296"/>
      <c r="EG79" s="296"/>
      <c r="EH79" s="296"/>
      <c r="EI79" s="296"/>
      <c r="EJ79" s="296"/>
      <c r="EK79" s="296"/>
      <c r="EL79" s="296"/>
      <c r="EM79" s="296"/>
      <c r="EN79" s="296"/>
      <c r="EO79" s="296"/>
      <c r="EP79" s="296"/>
      <c r="EQ79" s="296"/>
      <c r="ER79" s="296"/>
      <c r="ES79" s="296"/>
      <c r="ET79" s="296"/>
      <c r="EU79" s="296"/>
      <c r="EV79" s="296"/>
      <c r="EW79" s="296"/>
      <c r="EX79" s="296"/>
      <c r="EY79" s="296"/>
      <c r="EZ79" s="296"/>
      <c r="FA79" s="296"/>
      <c r="FB79" s="296"/>
      <c r="FC79" s="296"/>
      <c r="FD79" s="296"/>
      <c r="FE79" s="296"/>
      <c r="FF79" s="296"/>
      <c r="FG79" s="296"/>
      <c r="FH79" s="296"/>
      <c r="FI79" s="296"/>
      <c r="FJ79" s="296"/>
      <c r="FK79" s="296"/>
      <c r="FL79" s="296"/>
      <c r="FM79" s="296"/>
      <c r="FN79" s="296"/>
      <c r="FO79" s="296"/>
      <c r="FP79" s="296"/>
      <c r="FQ79" s="296"/>
      <c r="FR79" s="296"/>
      <c r="FS79" s="296"/>
      <c r="FT79" s="296"/>
      <c r="FU79" s="296"/>
      <c r="FV79" s="296"/>
      <c r="FW79" s="296"/>
      <c r="FX79" s="296"/>
      <c r="FY79" s="296"/>
      <c r="FZ79" s="296"/>
      <c r="GA79" s="296"/>
      <c r="GB79" s="296"/>
      <c r="GC79" s="296"/>
      <c r="GD79" s="296"/>
      <c r="GE79" s="296"/>
      <c r="GF79" s="296"/>
      <c r="GG79" s="296"/>
      <c r="GH79" s="296"/>
      <c r="GI79" s="296"/>
      <c r="GJ79" s="296"/>
      <c r="GK79" s="296"/>
      <c r="GL79" s="296"/>
      <c r="GM79" s="296"/>
      <c r="GN79" s="296"/>
      <c r="GO79" s="296"/>
      <c r="GP79" s="296"/>
      <c r="GQ79" s="296"/>
      <c r="GR79" s="296"/>
      <c r="GS79" s="296"/>
      <c r="GT79" s="296"/>
      <c r="GU79" s="296"/>
      <c r="GV79" s="296"/>
      <c r="GW79" s="296"/>
      <c r="GX79" s="296"/>
      <c r="GY79" s="296"/>
      <c r="GZ79" s="296"/>
      <c r="HA79" s="296"/>
      <c r="HB79" s="296"/>
      <c r="HC79" s="296"/>
      <c r="HD79" s="296"/>
      <c r="HE79" s="296"/>
      <c r="HF79" s="296"/>
      <c r="HG79" s="296"/>
      <c r="HH79" s="296"/>
      <c r="HI79" s="296"/>
      <c r="HJ79" s="296"/>
      <c r="HK79" s="296"/>
      <c r="HL79" s="296"/>
      <c r="HM79" s="296"/>
      <c r="HN79" s="296"/>
      <c r="HO79" s="296"/>
      <c r="HP79" s="296"/>
      <c r="HQ79" s="296"/>
      <c r="HR79" s="296"/>
      <c r="HS79" s="296"/>
      <c r="HT79" s="296"/>
      <c r="HU79" s="296"/>
      <c r="HV79" s="296"/>
      <c r="HW79" s="296"/>
      <c r="HX79" s="296"/>
      <c r="HY79" s="296"/>
      <c r="HZ79" s="296"/>
      <c r="IA79" s="296"/>
      <c r="IB79" s="296"/>
      <c r="IC79" s="296"/>
      <c r="ID79" s="296"/>
      <c r="IE79" s="296"/>
      <c r="IF79" s="296"/>
      <c r="IG79" s="296"/>
      <c r="IH79" s="296"/>
      <c r="II79" s="296"/>
      <c r="IJ79" s="296"/>
      <c r="IK79" s="296"/>
      <c r="IL79" s="296"/>
      <c r="IM79" s="296"/>
      <c r="IN79" s="296"/>
      <c r="IO79" s="296"/>
      <c r="IP79" s="296"/>
      <c r="IQ79" s="296"/>
      <c r="IR79" s="296"/>
      <c r="IS79" s="296"/>
      <c r="IT79" s="296"/>
      <c r="IU79" s="296"/>
      <c r="IV79" s="296"/>
    </row>
    <row r="80" spans="1:256" customFormat="1" ht="12.75" customHeight="1">
      <c r="A80" s="296"/>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c r="CA80" s="296"/>
      <c r="CB80" s="296"/>
      <c r="CC80" s="296"/>
      <c r="CD80" s="296"/>
      <c r="CE80" s="296"/>
      <c r="CF80" s="296"/>
      <c r="CG80" s="296"/>
      <c r="CH80" s="296"/>
      <c r="CI80" s="296"/>
      <c r="CJ80" s="296"/>
      <c r="CK80" s="296"/>
      <c r="CL80" s="296"/>
      <c r="CM80" s="296"/>
      <c r="CN80" s="296"/>
      <c r="CO80" s="296"/>
      <c r="CP80" s="296"/>
      <c r="CQ80" s="296"/>
      <c r="CR80" s="296"/>
      <c r="CS80" s="296"/>
      <c r="CT80" s="296"/>
      <c r="CU80" s="296"/>
      <c r="CV80" s="296"/>
      <c r="CW80" s="296"/>
      <c r="CX80" s="296"/>
      <c r="CY80" s="296"/>
      <c r="CZ80" s="296"/>
      <c r="DA80" s="296"/>
      <c r="DB80" s="296"/>
      <c r="DC80" s="296"/>
      <c r="DD80" s="296"/>
      <c r="DE80" s="296"/>
      <c r="DF80" s="296"/>
      <c r="DG80" s="296"/>
      <c r="DH80" s="296"/>
      <c r="DI80" s="296"/>
      <c r="DJ80" s="296"/>
      <c r="DK80" s="296"/>
      <c r="DL80" s="296"/>
      <c r="DM80" s="296"/>
      <c r="DN80" s="296"/>
      <c r="DO80" s="296"/>
      <c r="DP80" s="296"/>
      <c r="DQ80" s="296"/>
      <c r="DR80" s="296"/>
      <c r="DS80" s="296"/>
      <c r="DT80" s="296"/>
      <c r="DU80" s="296"/>
      <c r="DV80" s="296"/>
      <c r="DW80" s="296"/>
      <c r="DX80" s="296"/>
      <c r="DY80" s="296"/>
      <c r="DZ80" s="296"/>
      <c r="EA80" s="296"/>
      <c r="EB80" s="296"/>
      <c r="EC80" s="296"/>
      <c r="ED80" s="296"/>
      <c r="EE80" s="296"/>
      <c r="EF80" s="296"/>
      <c r="EG80" s="296"/>
      <c r="EH80" s="296"/>
      <c r="EI80" s="296"/>
      <c r="EJ80" s="296"/>
      <c r="EK80" s="296"/>
      <c r="EL80" s="296"/>
      <c r="EM80" s="296"/>
      <c r="EN80" s="296"/>
      <c r="EO80" s="296"/>
      <c r="EP80" s="296"/>
      <c r="EQ80" s="296"/>
      <c r="ER80" s="296"/>
      <c r="ES80" s="296"/>
      <c r="ET80" s="296"/>
      <c r="EU80" s="296"/>
      <c r="EV80" s="296"/>
      <c r="EW80" s="296"/>
      <c r="EX80" s="296"/>
      <c r="EY80" s="296"/>
      <c r="EZ80" s="296"/>
      <c r="FA80" s="296"/>
      <c r="FB80" s="296"/>
      <c r="FC80" s="296"/>
      <c r="FD80" s="296"/>
      <c r="FE80" s="296"/>
      <c r="FF80" s="296"/>
      <c r="FG80" s="296"/>
      <c r="FH80" s="296"/>
      <c r="FI80" s="296"/>
      <c r="FJ80" s="296"/>
      <c r="FK80" s="296"/>
      <c r="FL80" s="296"/>
      <c r="FM80" s="296"/>
      <c r="FN80" s="296"/>
      <c r="FO80" s="296"/>
      <c r="FP80" s="296"/>
      <c r="FQ80" s="296"/>
      <c r="FR80" s="296"/>
      <c r="FS80" s="296"/>
      <c r="FT80" s="296"/>
      <c r="FU80" s="296"/>
      <c r="FV80" s="296"/>
      <c r="FW80" s="296"/>
      <c r="FX80" s="296"/>
      <c r="FY80" s="296"/>
      <c r="FZ80" s="296"/>
      <c r="GA80" s="296"/>
      <c r="GB80" s="296"/>
      <c r="GC80" s="296"/>
      <c r="GD80" s="296"/>
      <c r="GE80" s="296"/>
      <c r="GF80" s="296"/>
      <c r="GG80" s="296"/>
      <c r="GH80" s="296"/>
      <c r="GI80" s="296"/>
      <c r="GJ80" s="296"/>
      <c r="GK80" s="296"/>
      <c r="GL80" s="296"/>
      <c r="GM80" s="296"/>
      <c r="GN80" s="296"/>
      <c r="GO80" s="296"/>
      <c r="GP80" s="296"/>
      <c r="GQ80" s="296"/>
      <c r="GR80" s="296"/>
      <c r="GS80" s="296"/>
      <c r="GT80" s="296"/>
      <c r="GU80" s="296"/>
      <c r="GV80" s="296"/>
      <c r="GW80" s="296"/>
      <c r="GX80" s="296"/>
      <c r="GY80" s="296"/>
      <c r="GZ80" s="296"/>
      <c r="HA80" s="296"/>
      <c r="HB80" s="296"/>
      <c r="HC80" s="296"/>
      <c r="HD80" s="296"/>
      <c r="HE80" s="296"/>
      <c r="HF80" s="296"/>
      <c r="HG80" s="296"/>
      <c r="HH80" s="296"/>
      <c r="HI80" s="296"/>
      <c r="HJ80" s="296"/>
      <c r="HK80" s="296"/>
      <c r="HL80" s="296"/>
      <c r="HM80" s="296"/>
      <c r="HN80" s="296"/>
      <c r="HO80" s="296"/>
      <c r="HP80" s="296"/>
      <c r="HQ80" s="296"/>
      <c r="HR80" s="296"/>
      <c r="HS80" s="296"/>
      <c r="HT80" s="296"/>
      <c r="HU80" s="296"/>
      <c r="HV80" s="296"/>
      <c r="HW80" s="296"/>
      <c r="HX80" s="296"/>
      <c r="HY80" s="296"/>
      <c r="HZ80" s="296"/>
      <c r="IA80" s="296"/>
      <c r="IB80" s="296"/>
      <c r="IC80" s="296"/>
      <c r="ID80" s="296"/>
      <c r="IE80" s="296"/>
      <c r="IF80" s="296"/>
      <c r="IG80" s="296"/>
      <c r="IH80" s="296"/>
      <c r="II80" s="296"/>
      <c r="IJ80" s="296"/>
      <c r="IK80" s="296"/>
      <c r="IL80" s="296"/>
      <c r="IM80" s="296"/>
      <c r="IN80" s="296"/>
      <c r="IO80" s="296"/>
      <c r="IP80" s="296"/>
      <c r="IQ80" s="296"/>
      <c r="IR80" s="296"/>
      <c r="IS80" s="296"/>
      <c r="IT80" s="296"/>
      <c r="IU80" s="296"/>
      <c r="IV80" s="296"/>
    </row>
    <row r="81" spans="1:256" customFormat="1" ht="12.75" customHeight="1">
      <c r="A81" s="296"/>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c r="CA81" s="296"/>
      <c r="CB81" s="296"/>
      <c r="CC81" s="296"/>
      <c r="CD81" s="296"/>
      <c r="CE81" s="296"/>
      <c r="CF81" s="296"/>
      <c r="CG81" s="296"/>
      <c r="CH81" s="296"/>
      <c r="CI81" s="296"/>
      <c r="CJ81" s="296"/>
      <c r="CK81" s="296"/>
      <c r="CL81" s="296"/>
      <c r="CM81" s="296"/>
      <c r="CN81" s="296"/>
      <c r="CO81" s="296"/>
      <c r="CP81" s="296"/>
      <c r="CQ81" s="296"/>
      <c r="CR81" s="296"/>
      <c r="CS81" s="296"/>
      <c r="CT81" s="296"/>
      <c r="CU81" s="296"/>
      <c r="CV81" s="296"/>
      <c r="CW81" s="296"/>
      <c r="CX81" s="296"/>
      <c r="CY81" s="296"/>
      <c r="CZ81" s="296"/>
      <c r="DA81" s="296"/>
      <c r="DB81" s="296"/>
      <c r="DC81" s="296"/>
      <c r="DD81" s="296"/>
      <c r="DE81" s="296"/>
      <c r="DF81" s="296"/>
      <c r="DG81" s="296"/>
      <c r="DH81" s="296"/>
      <c r="DI81" s="296"/>
      <c r="DJ81" s="296"/>
      <c r="DK81" s="296"/>
      <c r="DL81" s="296"/>
      <c r="DM81" s="296"/>
      <c r="DN81" s="296"/>
      <c r="DO81" s="296"/>
      <c r="DP81" s="296"/>
      <c r="DQ81" s="296"/>
      <c r="DR81" s="296"/>
      <c r="DS81" s="296"/>
      <c r="DT81" s="296"/>
      <c r="DU81" s="296"/>
      <c r="DV81" s="296"/>
      <c r="DW81" s="296"/>
      <c r="DX81" s="296"/>
      <c r="DY81" s="296"/>
      <c r="DZ81" s="296"/>
      <c r="EA81" s="296"/>
      <c r="EB81" s="296"/>
      <c r="EC81" s="296"/>
      <c r="ED81" s="296"/>
      <c r="EE81" s="296"/>
      <c r="EF81" s="296"/>
      <c r="EG81" s="296"/>
      <c r="EH81" s="296"/>
      <c r="EI81" s="296"/>
      <c r="EJ81" s="296"/>
      <c r="EK81" s="296"/>
      <c r="EL81" s="296"/>
      <c r="EM81" s="296"/>
      <c r="EN81" s="296"/>
      <c r="EO81" s="296"/>
      <c r="EP81" s="296"/>
      <c r="EQ81" s="296"/>
      <c r="ER81" s="296"/>
      <c r="ES81" s="296"/>
      <c r="ET81" s="296"/>
      <c r="EU81" s="296"/>
      <c r="EV81" s="296"/>
      <c r="EW81" s="296"/>
      <c r="EX81" s="296"/>
      <c r="EY81" s="296"/>
      <c r="EZ81" s="296"/>
      <c r="FA81" s="296"/>
      <c r="FB81" s="296"/>
      <c r="FC81" s="296"/>
      <c r="FD81" s="296"/>
      <c r="FE81" s="296"/>
      <c r="FF81" s="296"/>
      <c r="FG81" s="296"/>
      <c r="FH81" s="296"/>
      <c r="FI81" s="296"/>
      <c r="FJ81" s="296"/>
      <c r="FK81" s="296"/>
      <c r="FL81" s="296"/>
      <c r="FM81" s="296"/>
      <c r="FN81" s="296"/>
      <c r="FO81" s="296"/>
      <c r="FP81" s="296"/>
      <c r="FQ81" s="296"/>
      <c r="FR81" s="296"/>
      <c r="FS81" s="296"/>
      <c r="FT81" s="296"/>
      <c r="FU81" s="296"/>
      <c r="FV81" s="296"/>
      <c r="FW81" s="296"/>
      <c r="FX81" s="296"/>
      <c r="FY81" s="296"/>
      <c r="FZ81" s="296"/>
      <c r="GA81" s="296"/>
      <c r="GB81" s="296"/>
      <c r="GC81" s="296"/>
      <c r="GD81" s="296"/>
      <c r="GE81" s="296"/>
      <c r="GF81" s="296"/>
      <c r="GG81" s="296"/>
      <c r="GH81" s="296"/>
      <c r="GI81" s="296"/>
      <c r="GJ81" s="296"/>
      <c r="GK81" s="296"/>
      <c r="GL81" s="296"/>
      <c r="GM81" s="296"/>
      <c r="GN81" s="296"/>
      <c r="GO81" s="296"/>
      <c r="GP81" s="296"/>
      <c r="GQ81" s="296"/>
      <c r="GR81" s="296"/>
      <c r="GS81" s="296"/>
      <c r="GT81" s="296"/>
      <c r="GU81" s="296"/>
      <c r="GV81" s="296"/>
      <c r="GW81" s="296"/>
      <c r="GX81" s="296"/>
      <c r="GY81" s="296"/>
      <c r="GZ81" s="296"/>
      <c r="HA81" s="296"/>
      <c r="HB81" s="296"/>
      <c r="HC81" s="296"/>
      <c r="HD81" s="296"/>
      <c r="HE81" s="296"/>
      <c r="HF81" s="296"/>
      <c r="HG81" s="296"/>
      <c r="HH81" s="296"/>
      <c r="HI81" s="296"/>
      <c r="HJ81" s="296"/>
      <c r="HK81" s="296"/>
      <c r="HL81" s="296"/>
      <c r="HM81" s="296"/>
      <c r="HN81" s="296"/>
      <c r="HO81" s="296"/>
      <c r="HP81" s="296"/>
      <c r="HQ81" s="296"/>
      <c r="HR81" s="296"/>
      <c r="HS81" s="296"/>
      <c r="HT81" s="296"/>
      <c r="HU81" s="296"/>
      <c r="HV81" s="296"/>
      <c r="HW81" s="296"/>
      <c r="HX81" s="296"/>
      <c r="HY81" s="296"/>
      <c r="HZ81" s="296"/>
      <c r="IA81" s="296"/>
      <c r="IB81" s="296"/>
      <c r="IC81" s="296"/>
      <c r="ID81" s="296"/>
      <c r="IE81" s="296"/>
      <c r="IF81" s="296"/>
      <c r="IG81" s="296"/>
      <c r="IH81" s="296"/>
      <c r="II81" s="296"/>
      <c r="IJ81" s="296"/>
      <c r="IK81" s="296"/>
      <c r="IL81" s="296"/>
      <c r="IM81" s="296"/>
      <c r="IN81" s="296"/>
      <c r="IO81" s="296"/>
      <c r="IP81" s="296"/>
      <c r="IQ81" s="296"/>
      <c r="IR81" s="296"/>
      <c r="IS81" s="296"/>
      <c r="IT81" s="296"/>
      <c r="IU81" s="296"/>
      <c r="IV81" s="296"/>
    </row>
    <row r="82" spans="1:256" customFormat="1" ht="12.75" customHeight="1">
      <c r="A82" s="296"/>
      <c r="B82" s="296"/>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296"/>
      <c r="CZ82" s="296"/>
      <c r="DA82" s="296"/>
      <c r="DB82" s="296"/>
      <c r="DC82" s="296"/>
      <c r="DD82" s="296"/>
      <c r="DE82" s="296"/>
      <c r="DF82" s="296"/>
      <c r="DG82" s="296"/>
      <c r="DH82" s="296"/>
      <c r="DI82" s="296"/>
      <c r="DJ82" s="296"/>
      <c r="DK82" s="296"/>
      <c r="DL82" s="296"/>
      <c r="DM82" s="296"/>
      <c r="DN82" s="296"/>
      <c r="DO82" s="296"/>
      <c r="DP82" s="296"/>
      <c r="DQ82" s="296"/>
      <c r="DR82" s="296"/>
      <c r="DS82" s="296"/>
      <c r="DT82" s="296"/>
      <c r="DU82" s="296"/>
      <c r="DV82" s="296"/>
      <c r="DW82" s="296"/>
      <c r="DX82" s="296"/>
      <c r="DY82" s="296"/>
      <c r="DZ82" s="296"/>
      <c r="EA82" s="296"/>
      <c r="EB82" s="296"/>
      <c r="EC82" s="296"/>
      <c r="ED82" s="296"/>
      <c r="EE82" s="296"/>
      <c r="EF82" s="296"/>
      <c r="EG82" s="296"/>
      <c r="EH82" s="296"/>
      <c r="EI82" s="296"/>
      <c r="EJ82" s="296"/>
      <c r="EK82" s="296"/>
      <c r="EL82" s="296"/>
      <c r="EM82" s="296"/>
      <c r="EN82" s="296"/>
      <c r="EO82" s="296"/>
      <c r="EP82" s="296"/>
      <c r="EQ82" s="296"/>
      <c r="ER82" s="296"/>
      <c r="ES82" s="296"/>
      <c r="ET82" s="296"/>
      <c r="EU82" s="296"/>
      <c r="EV82" s="296"/>
      <c r="EW82" s="296"/>
      <c r="EX82" s="296"/>
      <c r="EY82" s="296"/>
      <c r="EZ82" s="296"/>
      <c r="FA82" s="296"/>
      <c r="FB82" s="296"/>
      <c r="FC82" s="296"/>
      <c r="FD82" s="296"/>
      <c r="FE82" s="296"/>
      <c r="FF82" s="296"/>
      <c r="FG82" s="296"/>
      <c r="FH82" s="296"/>
      <c r="FI82" s="296"/>
      <c r="FJ82" s="296"/>
      <c r="FK82" s="296"/>
      <c r="FL82" s="296"/>
      <c r="FM82" s="296"/>
      <c r="FN82" s="296"/>
      <c r="FO82" s="296"/>
      <c r="FP82" s="296"/>
      <c r="FQ82" s="296"/>
      <c r="FR82" s="296"/>
      <c r="FS82" s="296"/>
      <c r="FT82" s="296"/>
      <c r="FU82" s="296"/>
      <c r="FV82" s="296"/>
      <c r="FW82" s="296"/>
      <c r="FX82" s="296"/>
      <c r="FY82" s="296"/>
      <c r="FZ82" s="296"/>
      <c r="GA82" s="296"/>
      <c r="GB82" s="296"/>
      <c r="GC82" s="296"/>
      <c r="GD82" s="296"/>
      <c r="GE82" s="296"/>
      <c r="GF82" s="296"/>
      <c r="GG82" s="296"/>
      <c r="GH82" s="296"/>
      <c r="GI82" s="296"/>
      <c r="GJ82" s="296"/>
      <c r="GK82" s="296"/>
      <c r="GL82" s="296"/>
      <c r="GM82" s="296"/>
      <c r="GN82" s="296"/>
      <c r="GO82" s="296"/>
      <c r="GP82" s="296"/>
      <c r="GQ82" s="296"/>
      <c r="GR82" s="296"/>
      <c r="GS82" s="296"/>
      <c r="GT82" s="296"/>
      <c r="GU82" s="296"/>
      <c r="GV82" s="296"/>
      <c r="GW82" s="296"/>
      <c r="GX82" s="296"/>
      <c r="GY82" s="296"/>
      <c r="GZ82" s="296"/>
      <c r="HA82" s="296"/>
      <c r="HB82" s="296"/>
      <c r="HC82" s="296"/>
      <c r="HD82" s="296"/>
      <c r="HE82" s="296"/>
      <c r="HF82" s="296"/>
      <c r="HG82" s="296"/>
      <c r="HH82" s="296"/>
      <c r="HI82" s="296"/>
      <c r="HJ82" s="296"/>
      <c r="HK82" s="296"/>
      <c r="HL82" s="296"/>
      <c r="HM82" s="296"/>
      <c r="HN82" s="296"/>
      <c r="HO82" s="296"/>
      <c r="HP82" s="296"/>
      <c r="HQ82" s="296"/>
      <c r="HR82" s="296"/>
      <c r="HS82" s="296"/>
      <c r="HT82" s="296"/>
      <c r="HU82" s="296"/>
      <c r="HV82" s="296"/>
      <c r="HW82" s="296"/>
      <c r="HX82" s="296"/>
      <c r="HY82" s="296"/>
      <c r="HZ82" s="296"/>
      <c r="IA82" s="296"/>
      <c r="IB82" s="296"/>
      <c r="IC82" s="296"/>
      <c r="ID82" s="296"/>
      <c r="IE82" s="296"/>
      <c r="IF82" s="296"/>
      <c r="IG82" s="296"/>
      <c r="IH82" s="296"/>
      <c r="II82" s="296"/>
      <c r="IJ82" s="296"/>
      <c r="IK82" s="296"/>
      <c r="IL82" s="296"/>
      <c r="IM82" s="296"/>
      <c r="IN82" s="296"/>
      <c r="IO82" s="296"/>
      <c r="IP82" s="296"/>
      <c r="IQ82" s="296"/>
      <c r="IR82" s="296"/>
      <c r="IS82" s="296"/>
      <c r="IT82" s="296"/>
      <c r="IU82" s="296"/>
      <c r="IV82" s="296"/>
    </row>
    <row r="83" spans="1:256" customFormat="1" ht="12.75" customHeight="1">
      <c r="A83" s="296"/>
      <c r="B83" s="296"/>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296"/>
      <c r="CJ83" s="296"/>
      <c r="CK83" s="296"/>
      <c r="CL83" s="296"/>
      <c r="CM83" s="296"/>
      <c r="CN83" s="296"/>
      <c r="CO83" s="296"/>
      <c r="CP83" s="296"/>
      <c r="CQ83" s="296"/>
      <c r="CR83" s="296"/>
      <c r="CS83" s="296"/>
      <c r="CT83" s="296"/>
      <c r="CU83" s="296"/>
      <c r="CV83" s="296"/>
      <c r="CW83" s="296"/>
      <c r="CX83" s="296"/>
      <c r="CY83" s="296"/>
      <c r="CZ83" s="296"/>
      <c r="DA83" s="296"/>
      <c r="DB83" s="296"/>
      <c r="DC83" s="296"/>
      <c r="DD83" s="296"/>
      <c r="DE83" s="296"/>
      <c r="DF83" s="296"/>
      <c r="DG83" s="296"/>
      <c r="DH83" s="296"/>
      <c r="DI83" s="296"/>
      <c r="DJ83" s="296"/>
      <c r="DK83" s="296"/>
      <c r="DL83" s="296"/>
      <c r="DM83" s="296"/>
      <c r="DN83" s="296"/>
      <c r="DO83" s="296"/>
      <c r="DP83" s="296"/>
      <c r="DQ83" s="296"/>
      <c r="DR83" s="296"/>
      <c r="DS83" s="296"/>
      <c r="DT83" s="296"/>
      <c r="DU83" s="296"/>
      <c r="DV83" s="296"/>
      <c r="DW83" s="296"/>
      <c r="DX83" s="296"/>
      <c r="DY83" s="296"/>
      <c r="DZ83" s="296"/>
      <c r="EA83" s="296"/>
      <c r="EB83" s="296"/>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c r="FB83" s="296"/>
      <c r="FC83" s="296"/>
      <c r="FD83" s="296"/>
      <c r="FE83" s="296"/>
      <c r="FF83" s="296"/>
      <c r="FG83" s="296"/>
      <c r="FH83" s="296"/>
      <c r="FI83" s="296"/>
      <c r="FJ83" s="296"/>
      <c r="FK83" s="296"/>
      <c r="FL83" s="296"/>
      <c r="FM83" s="296"/>
      <c r="FN83" s="296"/>
      <c r="FO83" s="296"/>
      <c r="FP83" s="296"/>
      <c r="FQ83" s="296"/>
      <c r="FR83" s="296"/>
      <c r="FS83" s="296"/>
      <c r="FT83" s="296"/>
      <c r="FU83" s="296"/>
      <c r="FV83" s="296"/>
      <c r="FW83" s="296"/>
      <c r="FX83" s="296"/>
      <c r="FY83" s="296"/>
      <c r="FZ83" s="296"/>
      <c r="GA83" s="296"/>
      <c r="GB83" s="296"/>
      <c r="GC83" s="296"/>
      <c r="GD83" s="296"/>
      <c r="GE83" s="296"/>
      <c r="GF83" s="296"/>
      <c r="GG83" s="296"/>
      <c r="GH83" s="296"/>
      <c r="GI83" s="296"/>
      <c r="GJ83" s="296"/>
      <c r="GK83" s="296"/>
      <c r="GL83" s="296"/>
      <c r="GM83" s="296"/>
      <c r="GN83" s="296"/>
      <c r="GO83" s="296"/>
      <c r="GP83" s="296"/>
      <c r="GQ83" s="296"/>
      <c r="GR83" s="296"/>
      <c r="GS83" s="296"/>
      <c r="GT83" s="296"/>
      <c r="GU83" s="296"/>
      <c r="GV83" s="296"/>
      <c r="GW83" s="296"/>
      <c r="GX83" s="296"/>
      <c r="GY83" s="296"/>
      <c r="GZ83" s="296"/>
      <c r="HA83" s="296"/>
      <c r="HB83" s="296"/>
      <c r="HC83" s="296"/>
      <c r="HD83" s="296"/>
      <c r="HE83" s="296"/>
      <c r="HF83" s="296"/>
      <c r="HG83" s="296"/>
      <c r="HH83" s="296"/>
      <c r="HI83" s="296"/>
      <c r="HJ83" s="296"/>
      <c r="HK83" s="296"/>
      <c r="HL83" s="296"/>
      <c r="HM83" s="296"/>
      <c r="HN83" s="296"/>
      <c r="HO83" s="296"/>
      <c r="HP83" s="296"/>
      <c r="HQ83" s="296"/>
      <c r="HR83" s="296"/>
      <c r="HS83" s="296"/>
      <c r="HT83" s="296"/>
      <c r="HU83" s="296"/>
      <c r="HV83" s="296"/>
      <c r="HW83" s="296"/>
      <c r="HX83" s="296"/>
      <c r="HY83" s="296"/>
      <c r="HZ83" s="296"/>
      <c r="IA83" s="296"/>
      <c r="IB83" s="296"/>
      <c r="IC83" s="296"/>
      <c r="ID83" s="296"/>
      <c r="IE83" s="296"/>
      <c r="IF83" s="296"/>
      <c r="IG83" s="296"/>
      <c r="IH83" s="296"/>
      <c r="II83" s="296"/>
      <c r="IJ83" s="296"/>
      <c r="IK83" s="296"/>
      <c r="IL83" s="296"/>
      <c r="IM83" s="296"/>
      <c r="IN83" s="296"/>
      <c r="IO83" s="296"/>
      <c r="IP83" s="296"/>
      <c r="IQ83" s="296"/>
      <c r="IR83" s="296"/>
      <c r="IS83" s="296"/>
      <c r="IT83" s="296"/>
      <c r="IU83" s="296"/>
      <c r="IV83" s="296"/>
    </row>
    <row r="84" spans="1:256" customFormat="1" ht="12.75" customHeight="1">
      <c r="A84" s="296"/>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c r="CA84" s="296"/>
      <c r="CB84" s="296"/>
      <c r="CC84" s="296"/>
      <c r="CD84" s="296"/>
      <c r="CE84" s="296"/>
      <c r="CF84" s="296"/>
      <c r="CG84" s="296"/>
      <c r="CH84" s="296"/>
      <c r="CI84" s="296"/>
      <c r="CJ84" s="296"/>
      <c r="CK84" s="296"/>
      <c r="CL84" s="296"/>
      <c r="CM84" s="296"/>
      <c r="CN84" s="296"/>
      <c r="CO84" s="296"/>
      <c r="CP84" s="296"/>
      <c r="CQ84" s="296"/>
      <c r="CR84" s="296"/>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296"/>
      <c r="DS84" s="296"/>
      <c r="DT84" s="296"/>
      <c r="DU84" s="296"/>
      <c r="DV84" s="296"/>
      <c r="DW84" s="296"/>
      <c r="DX84" s="296"/>
      <c r="DY84" s="296"/>
      <c r="DZ84" s="296"/>
      <c r="EA84" s="296"/>
      <c r="EB84" s="296"/>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6"/>
      <c r="FE84" s="296"/>
      <c r="FF84" s="296"/>
      <c r="FG84" s="296"/>
      <c r="FH84" s="296"/>
      <c r="FI84" s="296"/>
      <c r="FJ84" s="296"/>
      <c r="FK84" s="296"/>
      <c r="FL84" s="296"/>
      <c r="FM84" s="296"/>
      <c r="FN84" s="296"/>
      <c r="FO84" s="296"/>
      <c r="FP84" s="296"/>
      <c r="FQ84" s="296"/>
      <c r="FR84" s="296"/>
      <c r="FS84" s="296"/>
      <c r="FT84" s="296"/>
      <c r="FU84" s="296"/>
      <c r="FV84" s="296"/>
      <c r="FW84" s="296"/>
      <c r="FX84" s="296"/>
      <c r="FY84" s="296"/>
      <c r="FZ84" s="296"/>
      <c r="GA84" s="296"/>
      <c r="GB84" s="296"/>
      <c r="GC84" s="296"/>
      <c r="GD84" s="296"/>
      <c r="GE84" s="296"/>
      <c r="GF84" s="296"/>
      <c r="GG84" s="296"/>
      <c r="GH84" s="296"/>
      <c r="GI84" s="296"/>
      <c r="GJ84" s="296"/>
      <c r="GK84" s="296"/>
      <c r="GL84" s="296"/>
      <c r="GM84" s="296"/>
      <c r="GN84" s="296"/>
      <c r="GO84" s="296"/>
      <c r="GP84" s="296"/>
      <c r="GQ84" s="296"/>
      <c r="GR84" s="296"/>
      <c r="GS84" s="296"/>
      <c r="GT84" s="296"/>
      <c r="GU84" s="296"/>
      <c r="GV84" s="296"/>
      <c r="GW84" s="296"/>
      <c r="GX84" s="296"/>
      <c r="GY84" s="296"/>
      <c r="GZ84" s="296"/>
      <c r="HA84" s="296"/>
      <c r="HB84" s="296"/>
      <c r="HC84" s="296"/>
      <c r="HD84" s="296"/>
      <c r="HE84" s="296"/>
      <c r="HF84" s="296"/>
      <c r="HG84" s="296"/>
      <c r="HH84" s="296"/>
      <c r="HI84" s="296"/>
      <c r="HJ84" s="296"/>
      <c r="HK84" s="296"/>
      <c r="HL84" s="296"/>
      <c r="HM84" s="296"/>
      <c r="HN84" s="296"/>
      <c r="HO84" s="296"/>
      <c r="HP84" s="296"/>
      <c r="HQ84" s="296"/>
      <c r="HR84" s="296"/>
      <c r="HS84" s="296"/>
      <c r="HT84" s="296"/>
      <c r="HU84" s="296"/>
      <c r="HV84" s="296"/>
      <c r="HW84" s="296"/>
      <c r="HX84" s="296"/>
      <c r="HY84" s="296"/>
      <c r="HZ84" s="296"/>
      <c r="IA84" s="296"/>
      <c r="IB84" s="296"/>
      <c r="IC84" s="296"/>
      <c r="ID84" s="296"/>
      <c r="IE84" s="296"/>
      <c r="IF84" s="296"/>
      <c r="IG84" s="296"/>
      <c r="IH84" s="296"/>
      <c r="II84" s="296"/>
      <c r="IJ84" s="296"/>
      <c r="IK84" s="296"/>
      <c r="IL84" s="296"/>
      <c r="IM84" s="296"/>
      <c r="IN84" s="296"/>
      <c r="IO84" s="296"/>
      <c r="IP84" s="296"/>
      <c r="IQ84" s="296"/>
      <c r="IR84" s="296"/>
      <c r="IS84" s="296"/>
      <c r="IT84" s="296"/>
      <c r="IU84" s="296"/>
      <c r="IV84" s="296"/>
    </row>
    <row r="85" spans="1:256" customFormat="1" ht="12.75" customHeight="1">
      <c r="A85" s="296"/>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296"/>
      <c r="DU85" s="296"/>
      <c r="DV85" s="296"/>
      <c r="DW85" s="296"/>
      <c r="DX85" s="296"/>
      <c r="DY85" s="296"/>
      <c r="DZ85" s="296"/>
      <c r="EA85" s="296"/>
      <c r="EB85" s="296"/>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G85" s="296"/>
      <c r="FH85" s="296"/>
      <c r="FI85" s="296"/>
      <c r="FJ85" s="296"/>
      <c r="FK85" s="296"/>
      <c r="FL85" s="296"/>
      <c r="FM85" s="296"/>
      <c r="FN85" s="296"/>
      <c r="FO85" s="296"/>
      <c r="FP85" s="296"/>
      <c r="FQ85" s="296"/>
      <c r="FR85" s="296"/>
      <c r="FS85" s="296"/>
      <c r="FT85" s="296"/>
      <c r="FU85" s="296"/>
      <c r="FV85" s="296"/>
      <c r="FW85" s="296"/>
      <c r="FX85" s="296"/>
      <c r="FY85" s="296"/>
      <c r="FZ85" s="296"/>
      <c r="GA85" s="296"/>
      <c r="GB85" s="296"/>
      <c r="GC85" s="296"/>
      <c r="GD85" s="296"/>
      <c r="GE85" s="296"/>
      <c r="GF85" s="296"/>
      <c r="GG85" s="296"/>
      <c r="GH85" s="296"/>
      <c r="GI85" s="296"/>
      <c r="GJ85" s="296"/>
      <c r="GK85" s="296"/>
      <c r="GL85" s="296"/>
      <c r="GM85" s="296"/>
      <c r="GN85" s="296"/>
      <c r="GO85" s="296"/>
      <c r="GP85" s="296"/>
      <c r="GQ85" s="296"/>
      <c r="GR85" s="296"/>
      <c r="GS85" s="296"/>
      <c r="GT85" s="296"/>
      <c r="GU85" s="296"/>
      <c r="GV85" s="296"/>
      <c r="GW85" s="296"/>
      <c r="GX85" s="296"/>
      <c r="GY85" s="296"/>
      <c r="GZ85" s="296"/>
      <c r="HA85" s="296"/>
      <c r="HB85" s="296"/>
      <c r="HC85" s="296"/>
      <c r="HD85" s="296"/>
      <c r="HE85" s="296"/>
      <c r="HF85" s="296"/>
      <c r="HG85" s="296"/>
      <c r="HH85" s="296"/>
      <c r="HI85" s="296"/>
      <c r="HJ85" s="296"/>
      <c r="HK85" s="296"/>
      <c r="HL85" s="296"/>
      <c r="HM85" s="296"/>
      <c r="HN85" s="296"/>
      <c r="HO85" s="296"/>
      <c r="HP85" s="296"/>
      <c r="HQ85" s="296"/>
      <c r="HR85" s="296"/>
      <c r="HS85" s="296"/>
      <c r="HT85" s="296"/>
      <c r="HU85" s="296"/>
      <c r="HV85" s="296"/>
      <c r="HW85" s="296"/>
      <c r="HX85" s="296"/>
      <c r="HY85" s="296"/>
      <c r="HZ85" s="296"/>
      <c r="IA85" s="296"/>
      <c r="IB85" s="296"/>
      <c r="IC85" s="296"/>
      <c r="ID85" s="296"/>
      <c r="IE85" s="296"/>
      <c r="IF85" s="296"/>
      <c r="IG85" s="296"/>
      <c r="IH85" s="296"/>
      <c r="II85" s="296"/>
      <c r="IJ85" s="296"/>
      <c r="IK85" s="296"/>
      <c r="IL85" s="296"/>
      <c r="IM85" s="296"/>
      <c r="IN85" s="296"/>
      <c r="IO85" s="296"/>
      <c r="IP85" s="296"/>
      <c r="IQ85" s="296"/>
      <c r="IR85" s="296"/>
      <c r="IS85" s="296"/>
      <c r="IT85" s="296"/>
      <c r="IU85" s="296"/>
      <c r="IV85" s="296"/>
    </row>
    <row r="86" spans="1:256" customFormat="1" ht="12.75" customHeight="1">
      <c r="A86" s="296"/>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6"/>
      <c r="CJ86" s="296"/>
      <c r="CK86" s="296"/>
      <c r="CL86" s="296"/>
      <c r="CM86" s="296"/>
      <c r="CN86" s="296"/>
      <c r="CO86" s="296"/>
      <c r="CP86" s="296"/>
      <c r="CQ86" s="296"/>
      <c r="CR86" s="296"/>
      <c r="CS86" s="296"/>
      <c r="CT86" s="296"/>
      <c r="CU86" s="296"/>
      <c r="CV86" s="296"/>
      <c r="CW86" s="296"/>
      <c r="CX86" s="296"/>
      <c r="CY86" s="296"/>
      <c r="CZ86" s="296"/>
      <c r="DA86" s="296"/>
      <c r="DB86" s="296"/>
      <c r="DC86" s="296"/>
      <c r="DD86" s="296"/>
      <c r="DE86" s="296"/>
      <c r="DF86" s="296"/>
      <c r="DG86" s="296"/>
      <c r="DH86" s="296"/>
      <c r="DI86" s="296"/>
      <c r="DJ86" s="296"/>
      <c r="DK86" s="296"/>
      <c r="DL86" s="296"/>
      <c r="DM86" s="296"/>
      <c r="DN86" s="296"/>
      <c r="DO86" s="296"/>
      <c r="DP86" s="296"/>
      <c r="DQ86" s="296"/>
      <c r="DR86" s="296"/>
      <c r="DS86" s="296"/>
      <c r="DT86" s="296"/>
      <c r="DU86" s="296"/>
      <c r="DV86" s="296"/>
      <c r="DW86" s="296"/>
      <c r="DX86" s="296"/>
      <c r="DY86" s="296"/>
      <c r="DZ86" s="296"/>
      <c r="EA86" s="296"/>
      <c r="EB86" s="296"/>
      <c r="EC86" s="296"/>
      <c r="ED86" s="296"/>
      <c r="EE86" s="296"/>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296"/>
      <c r="FF86" s="296"/>
      <c r="FG86" s="296"/>
      <c r="FH86" s="296"/>
      <c r="FI86" s="296"/>
      <c r="FJ86" s="296"/>
      <c r="FK86" s="296"/>
      <c r="FL86" s="296"/>
      <c r="FM86" s="296"/>
      <c r="FN86" s="296"/>
      <c r="FO86" s="296"/>
      <c r="FP86" s="296"/>
      <c r="FQ86" s="296"/>
      <c r="FR86" s="296"/>
      <c r="FS86" s="296"/>
      <c r="FT86" s="296"/>
      <c r="FU86" s="296"/>
      <c r="FV86" s="296"/>
      <c r="FW86" s="296"/>
      <c r="FX86" s="296"/>
      <c r="FY86" s="296"/>
      <c r="FZ86" s="296"/>
      <c r="GA86" s="296"/>
      <c r="GB86" s="296"/>
      <c r="GC86" s="296"/>
      <c r="GD86" s="296"/>
      <c r="GE86" s="296"/>
      <c r="GF86" s="296"/>
      <c r="GG86" s="296"/>
      <c r="GH86" s="296"/>
      <c r="GI86" s="296"/>
      <c r="GJ86" s="296"/>
      <c r="GK86" s="296"/>
      <c r="GL86" s="296"/>
      <c r="GM86" s="296"/>
      <c r="GN86" s="296"/>
      <c r="GO86" s="296"/>
      <c r="GP86" s="296"/>
      <c r="GQ86" s="296"/>
      <c r="GR86" s="296"/>
      <c r="GS86" s="296"/>
      <c r="GT86" s="296"/>
      <c r="GU86" s="296"/>
      <c r="GV86" s="296"/>
      <c r="GW86" s="296"/>
      <c r="GX86" s="296"/>
      <c r="GY86" s="296"/>
      <c r="GZ86" s="296"/>
      <c r="HA86" s="296"/>
      <c r="HB86" s="296"/>
      <c r="HC86" s="296"/>
      <c r="HD86" s="296"/>
      <c r="HE86" s="296"/>
      <c r="HF86" s="296"/>
      <c r="HG86" s="296"/>
      <c r="HH86" s="296"/>
      <c r="HI86" s="296"/>
      <c r="HJ86" s="296"/>
      <c r="HK86" s="296"/>
      <c r="HL86" s="296"/>
      <c r="HM86" s="296"/>
      <c r="HN86" s="296"/>
      <c r="HO86" s="296"/>
      <c r="HP86" s="296"/>
      <c r="HQ86" s="296"/>
      <c r="HR86" s="296"/>
      <c r="HS86" s="296"/>
      <c r="HT86" s="296"/>
      <c r="HU86" s="296"/>
      <c r="HV86" s="296"/>
      <c r="HW86" s="296"/>
      <c r="HX86" s="296"/>
      <c r="HY86" s="296"/>
      <c r="HZ86" s="296"/>
      <c r="IA86" s="296"/>
      <c r="IB86" s="296"/>
      <c r="IC86" s="296"/>
      <c r="ID86" s="296"/>
      <c r="IE86" s="296"/>
      <c r="IF86" s="296"/>
      <c r="IG86" s="296"/>
      <c r="IH86" s="296"/>
      <c r="II86" s="296"/>
      <c r="IJ86" s="296"/>
      <c r="IK86" s="296"/>
      <c r="IL86" s="296"/>
      <c r="IM86" s="296"/>
      <c r="IN86" s="296"/>
      <c r="IO86" s="296"/>
      <c r="IP86" s="296"/>
      <c r="IQ86" s="296"/>
      <c r="IR86" s="296"/>
      <c r="IS86" s="296"/>
      <c r="IT86" s="296"/>
      <c r="IU86" s="296"/>
      <c r="IV86" s="296"/>
    </row>
    <row r="87" spans="1:256" customFormat="1" ht="12.75" customHeight="1">
      <c r="A87" s="296"/>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c r="DN87" s="296"/>
      <c r="DO87" s="296"/>
      <c r="DP87" s="296"/>
      <c r="DQ87" s="296"/>
      <c r="DR87" s="296"/>
      <c r="DS87" s="296"/>
      <c r="DT87" s="296"/>
      <c r="DU87" s="296"/>
      <c r="DV87" s="296"/>
      <c r="DW87" s="296"/>
      <c r="DX87" s="296"/>
      <c r="DY87" s="296"/>
      <c r="DZ87" s="296"/>
      <c r="EA87" s="296"/>
      <c r="EB87" s="296"/>
      <c r="EC87" s="296"/>
      <c r="ED87" s="296"/>
      <c r="EE87" s="296"/>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296"/>
      <c r="FF87" s="296"/>
      <c r="FG87" s="296"/>
      <c r="FH87" s="296"/>
      <c r="FI87" s="296"/>
      <c r="FJ87" s="296"/>
      <c r="FK87" s="296"/>
      <c r="FL87" s="296"/>
      <c r="FM87" s="296"/>
      <c r="FN87" s="296"/>
      <c r="FO87" s="296"/>
      <c r="FP87" s="296"/>
      <c r="FQ87" s="296"/>
      <c r="FR87" s="296"/>
      <c r="FS87" s="296"/>
      <c r="FT87" s="296"/>
      <c r="FU87" s="296"/>
      <c r="FV87" s="296"/>
      <c r="FW87" s="296"/>
      <c r="FX87" s="296"/>
      <c r="FY87" s="296"/>
      <c r="FZ87" s="296"/>
      <c r="GA87" s="296"/>
      <c r="GB87" s="296"/>
      <c r="GC87" s="296"/>
      <c r="GD87" s="296"/>
      <c r="GE87" s="296"/>
      <c r="GF87" s="296"/>
      <c r="GG87" s="296"/>
      <c r="GH87" s="296"/>
      <c r="GI87" s="296"/>
      <c r="GJ87" s="296"/>
      <c r="GK87" s="296"/>
      <c r="GL87" s="296"/>
      <c r="GM87" s="296"/>
      <c r="GN87" s="296"/>
      <c r="GO87" s="296"/>
      <c r="GP87" s="296"/>
      <c r="GQ87" s="296"/>
      <c r="GR87" s="296"/>
      <c r="GS87" s="296"/>
      <c r="GT87" s="296"/>
      <c r="GU87" s="296"/>
      <c r="GV87" s="296"/>
      <c r="GW87" s="296"/>
      <c r="GX87" s="296"/>
      <c r="GY87" s="296"/>
      <c r="GZ87" s="296"/>
      <c r="HA87" s="296"/>
      <c r="HB87" s="296"/>
      <c r="HC87" s="296"/>
      <c r="HD87" s="296"/>
      <c r="HE87" s="296"/>
      <c r="HF87" s="296"/>
      <c r="HG87" s="296"/>
      <c r="HH87" s="296"/>
      <c r="HI87" s="296"/>
      <c r="HJ87" s="296"/>
      <c r="HK87" s="296"/>
      <c r="HL87" s="296"/>
      <c r="HM87" s="296"/>
      <c r="HN87" s="296"/>
      <c r="HO87" s="296"/>
      <c r="HP87" s="296"/>
      <c r="HQ87" s="296"/>
      <c r="HR87" s="296"/>
      <c r="HS87" s="296"/>
      <c r="HT87" s="296"/>
      <c r="HU87" s="296"/>
      <c r="HV87" s="296"/>
      <c r="HW87" s="296"/>
      <c r="HX87" s="296"/>
      <c r="HY87" s="296"/>
      <c r="HZ87" s="296"/>
      <c r="IA87" s="296"/>
      <c r="IB87" s="296"/>
      <c r="IC87" s="296"/>
      <c r="ID87" s="296"/>
      <c r="IE87" s="296"/>
      <c r="IF87" s="296"/>
      <c r="IG87" s="296"/>
      <c r="IH87" s="296"/>
      <c r="II87" s="296"/>
      <c r="IJ87" s="296"/>
      <c r="IK87" s="296"/>
      <c r="IL87" s="296"/>
      <c r="IM87" s="296"/>
      <c r="IN87" s="296"/>
      <c r="IO87" s="296"/>
      <c r="IP87" s="296"/>
      <c r="IQ87" s="296"/>
      <c r="IR87" s="296"/>
      <c r="IS87" s="296"/>
      <c r="IT87" s="296"/>
      <c r="IU87" s="296"/>
      <c r="IV87" s="296"/>
    </row>
    <row r="88" spans="1:256" customFormat="1" ht="12.75" customHeight="1">
      <c r="A88" s="296"/>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c r="DN88" s="296"/>
      <c r="DO88" s="296"/>
      <c r="DP88" s="296"/>
      <c r="DQ88" s="296"/>
      <c r="DR88" s="296"/>
      <c r="DS88" s="296"/>
      <c r="DT88" s="296"/>
      <c r="DU88" s="296"/>
      <c r="DV88" s="296"/>
      <c r="DW88" s="296"/>
      <c r="DX88" s="296"/>
      <c r="DY88" s="296"/>
      <c r="DZ88" s="296"/>
      <c r="EA88" s="296"/>
      <c r="EB88" s="296"/>
      <c r="EC88" s="296"/>
      <c r="ED88" s="296"/>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296"/>
      <c r="FF88" s="296"/>
      <c r="FG88" s="296"/>
      <c r="FH88" s="296"/>
      <c r="FI88" s="296"/>
      <c r="FJ88" s="296"/>
      <c r="FK88" s="296"/>
      <c r="FL88" s="296"/>
      <c r="FM88" s="296"/>
      <c r="FN88" s="296"/>
      <c r="FO88" s="296"/>
      <c r="FP88" s="296"/>
      <c r="FQ88" s="296"/>
      <c r="FR88" s="296"/>
      <c r="FS88" s="296"/>
      <c r="FT88" s="296"/>
      <c r="FU88" s="296"/>
      <c r="FV88" s="296"/>
      <c r="FW88" s="296"/>
      <c r="FX88" s="296"/>
      <c r="FY88" s="296"/>
      <c r="FZ88" s="296"/>
      <c r="GA88" s="296"/>
      <c r="GB88" s="296"/>
      <c r="GC88" s="296"/>
      <c r="GD88" s="296"/>
      <c r="GE88" s="296"/>
      <c r="GF88" s="296"/>
      <c r="GG88" s="296"/>
      <c r="GH88" s="296"/>
      <c r="GI88" s="296"/>
      <c r="GJ88" s="296"/>
      <c r="GK88" s="296"/>
      <c r="GL88" s="296"/>
      <c r="GM88" s="296"/>
      <c r="GN88" s="296"/>
      <c r="GO88" s="296"/>
      <c r="GP88" s="296"/>
      <c r="GQ88" s="296"/>
      <c r="GR88" s="296"/>
      <c r="GS88" s="296"/>
      <c r="GT88" s="296"/>
      <c r="GU88" s="296"/>
      <c r="GV88" s="296"/>
      <c r="GW88" s="296"/>
      <c r="GX88" s="296"/>
      <c r="GY88" s="296"/>
      <c r="GZ88" s="296"/>
      <c r="HA88" s="296"/>
      <c r="HB88" s="296"/>
      <c r="HC88" s="296"/>
      <c r="HD88" s="296"/>
      <c r="HE88" s="296"/>
      <c r="HF88" s="296"/>
      <c r="HG88" s="296"/>
      <c r="HH88" s="296"/>
      <c r="HI88" s="296"/>
      <c r="HJ88" s="296"/>
      <c r="HK88" s="296"/>
      <c r="HL88" s="296"/>
      <c r="HM88" s="296"/>
      <c r="HN88" s="296"/>
      <c r="HO88" s="296"/>
      <c r="HP88" s="296"/>
      <c r="HQ88" s="296"/>
      <c r="HR88" s="296"/>
      <c r="HS88" s="296"/>
      <c r="HT88" s="296"/>
      <c r="HU88" s="296"/>
      <c r="HV88" s="296"/>
      <c r="HW88" s="296"/>
      <c r="HX88" s="296"/>
      <c r="HY88" s="296"/>
      <c r="HZ88" s="296"/>
      <c r="IA88" s="296"/>
      <c r="IB88" s="296"/>
      <c r="IC88" s="296"/>
      <c r="ID88" s="296"/>
      <c r="IE88" s="296"/>
      <c r="IF88" s="296"/>
      <c r="IG88" s="296"/>
      <c r="IH88" s="296"/>
      <c r="II88" s="296"/>
      <c r="IJ88" s="296"/>
      <c r="IK88" s="296"/>
      <c r="IL88" s="296"/>
      <c r="IM88" s="296"/>
      <c r="IN88" s="296"/>
      <c r="IO88" s="296"/>
      <c r="IP88" s="296"/>
      <c r="IQ88" s="296"/>
      <c r="IR88" s="296"/>
      <c r="IS88" s="296"/>
      <c r="IT88" s="296"/>
      <c r="IU88" s="296"/>
      <c r="IV88" s="296"/>
    </row>
    <row r="89" spans="1:256" customFormat="1" ht="12.75" customHeight="1">
      <c r="A89" s="296"/>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c r="CA89" s="296"/>
      <c r="CB89" s="296"/>
      <c r="CC89" s="296"/>
      <c r="CD89" s="296"/>
      <c r="CE89" s="296"/>
      <c r="CF89" s="296"/>
      <c r="CG89" s="296"/>
      <c r="CH89" s="296"/>
      <c r="CI89" s="296"/>
      <c r="CJ89" s="296"/>
      <c r="CK89" s="296"/>
      <c r="CL89" s="296"/>
      <c r="CM89" s="296"/>
      <c r="CN89" s="296"/>
      <c r="CO89" s="296"/>
      <c r="CP89" s="296"/>
      <c r="CQ89" s="296"/>
      <c r="CR89" s="296"/>
      <c r="CS89" s="296"/>
      <c r="CT89" s="296"/>
      <c r="CU89" s="296"/>
      <c r="CV89" s="296"/>
      <c r="CW89" s="296"/>
      <c r="CX89" s="296"/>
      <c r="CY89" s="296"/>
      <c r="CZ89" s="296"/>
      <c r="DA89" s="296"/>
      <c r="DB89" s="296"/>
      <c r="DC89" s="296"/>
      <c r="DD89" s="296"/>
      <c r="DE89" s="296"/>
      <c r="DF89" s="296"/>
      <c r="DG89" s="296"/>
      <c r="DH89" s="296"/>
      <c r="DI89" s="296"/>
      <c r="DJ89" s="296"/>
      <c r="DK89" s="296"/>
      <c r="DL89" s="296"/>
      <c r="DM89" s="296"/>
      <c r="DN89" s="296"/>
      <c r="DO89" s="296"/>
      <c r="DP89" s="296"/>
      <c r="DQ89" s="296"/>
      <c r="DR89" s="296"/>
      <c r="DS89" s="296"/>
      <c r="DT89" s="296"/>
      <c r="DU89" s="296"/>
      <c r="DV89" s="296"/>
      <c r="DW89" s="296"/>
      <c r="DX89" s="296"/>
      <c r="DY89" s="296"/>
      <c r="DZ89" s="296"/>
      <c r="EA89" s="296"/>
      <c r="EB89" s="296"/>
      <c r="EC89" s="296"/>
      <c r="ED89" s="296"/>
      <c r="EE89" s="296"/>
      <c r="EF89" s="296"/>
      <c r="EG89" s="296"/>
      <c r="EH89" s="296"/>
      <c r="EI89" s="296"/>
      <c r="EJ89" s="296"/>
      <c r="EK89" s="296"/>
      <c r="EL89" s="296"/>
      <c r="EM89" s="296"/>
      <c r="EN89" s="296"/>
      <c r="EO89" s="296"/>
      <c r="EP89" s="296"/>
      <c r="EQ89" s="296"/>
      <c r="ER89" s="296"/>
      <c r="ES89" s="296"/>
      <c r="ET89" s="296"/>
      <c r="EU89" s="296"/>
      <c r="EV89" s="296"/>
      <c r="EW89" s="296"/>
      <c r="EX89" s="296"/>
      <c r="EY89" s="296"/>
      <c r="EZ89" s="296"/>
      <c r="FA89" s="296"/>
      <c r="FB89" s="296"/>
      <c r="FC89" s="296"/>
      <c r="FD89" s="296"/>
      <c r="FE89" s="296"/>
      <c r="FF89" s="296"/>
      <c r="FG89" s="296"/>
      <c r="FH89" s="296"/>
      <c r="FI89" s="296"/>
      <c r="FJ89" s="296"/>
      <c r="FK89" s="296"/>
      <c r="FL89" s="296"/>
      <c r="FM89" s="296"/>
      <c r="FN89" s="296"/>
      <c r="FO89" s="296"/>
      <c r="FP89" s="296"/>
      <c r="FQ89" s="296"/>
      <c r="FR89" s="296"/>
      <c r="FS89" s="296"/>
      <c r="FT89" s="296"/>
      <c r="FU89" s="296"/>
      <c r="FV89" s="296"/>
      <c r="FW89" s="296"/>
      <c r="FX89" s="296"/>
      <c r="FY89" s="296"/>
      <c r="FZ89" s="296"/>
      <c r="GA89" s="296"/>
      <c r="GB89" s="296"/>
      <c r="GC89" s="296"/>
      <c r="GD89" s="296"/>
      <c r="GE89" s="296"/>
      <c r="GF89" s="296"/>
      <c r="GG89" s="296"/>
      <c r="GH89" s="296"/>
      <c r="GI89" s="296"/>
      <c r="GJ89" s="296"/>
      <c r="GK89" s="296"/>
      <c r="GL89" s="296"/>
      <c r="GM89" s="296"/>
      <c r="GN89" s="296"/>
      <c r="GO89" s="296"/>
      <c r="GP89" s="296"/>
      <c r="GQ89" s="296"/>
      <c r="GR89" s="296"/>
      <c r="GS89" s="296"/>
      <c r="GT89" s="296"/>
      <c r="GU89" s="296"/>
      <c r="GV89" s="296"/>
      <c r="GW89" s="296"/>
      <c r="GX89" s="296"/>
      <c r="GY89" s="296"/>
      <c r="GZ89" s="296"/>
      <c r="HA89" s="296"/>
      <c r="HB89" s="296"/>
      <c r="HC89" s="296"/>
      <c r="HD89" s="296"/>
      <c r="HE89" s="296"/>
      <c r="HF89" s="296"/>
      <c r="HG89" s="296"/>
      <c r="HH89" s="296"/>
      <c r="HI89" s="296"/>
      <c r="HJ89" s="296"/>
      <c r="HK89" s="296"/>
      <c r="HL89" s="296"/>
      <c r="HM89" s="296"/>
      <c r="HN89" s="296"/>
      <c r="HO89" s="296"/>
      <c r="HP89" s="296"/>
      <c r="HQ89" s="296"/>
      <c r="HR89" s="296"/>
      <c r="HS89" s="296"/>
      <c r="HT89" s="296"/>
      <c r="HU89" s="296"/>
      <c r="HV89" s="296"/>
      <c r="HW89" s="296"/>
      <c r="HX89" s="296"/>
      <c r="HY89" s="296"/>
      <c r="HZ89" s="296"/>
      <c r="IA89" s="296"/>
      <c r="IB89" s="296"/>
      <c r="IC89" s="296"/>
      <c r="ID89" s="296"/>
      <c r="IE89" s="296"/>
      <c r="IF89" s="296"/>
      <c r="IG89" s="296"/>
      <c r="IH89" s="296"/>
      <c r="II89" s="296"/>
      <c r="IJ89" s="296"/>
      <c r="IK89" s="296"/>
      <c r="IL89" s="296"/>
      <c r="IM89" s="296"/>
      <c r="IN89" s="296"/>
      <c r="IO89" s="296"/>
      <c r="IP89" s="296"/>
      <c r="IQ89" s="296"/>
      <c r="IR89" s="296"/>
      <c r="IS89" s="296"/>
      <c r="IT89" s="296"/>
      <c r="IU89" s="296"/>
      <c r="IV89" s="296"/>
    </row>
    <row r="90" spans="1:256" customFormat="1" ht="12.75" customHeight="1">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296"/>
      <c r="CJ90" s="296"/>
      <c r="CK90" s="296"/>
      <c r="CL90" s="296"/>
      <c r="CM90" s="296"/>
      <c r="CN90" s="296"/>
      <c r="CO90" s="296"/>
      <c r="CP90" s="296"/>
      <c r="CQ90" s="296"/>
      <c r="CR90" s="296"/>
      <c r="CS90" s="296"/>
      <c r="CT90" s="296"/>
      <c r="CU90" s="296"/>
      <c r="CV90" s="296"/>
      <c r="CW90" s="296"/>
      <c r="CX90" s="296"/>
      <c r="CY90" s="296"/>
      <c r="CZ90" s="296"/>
      <c r="DA90" s="296"/>
      <c r="DB90" s="296"/>
      <c r="DC90" s="296"/>
      <c r="DD90" s="296"/>
      <c r="DE90" s="296"/>
      <c r="DF90" s="296"/>
      <c r="DG90" s="296"/>
      <c r="DH90" s="296"/>
      <c r="DI90" s="296"/>
      <c r="DJ90" s="296"/>
      <c r="DK90" s="296"/>
      <c r="DL90" s="296"/>
      <c r="DM90" s="296"/>
      <c r="DN90" s="296"/>
      <c r="DO90" s="296"/>
      <c r="DP90" s="296"/>
      <c r="DQ90" s="296"/>
      <c r="DR90" s="296"/>
      <c r="DS90" s="296"/>
      <c r="DT90" s="296"/>
      <c r="DU90" s="296"/>
      <c r="DV90" s="296"/>
      <c r="DW90" s="296"/>
      <c r="DX90" s="296"/>
      <c r="DY90" s="296"/>
      <c r="DZ90" s="296"/>
      <c r="EA90" s="296"/>
      <c r="EB90" s="296"/>
      <c r="EC90" s="296"/>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296"/>
      <c r="FF90" s="296"/>
      <c r="FG90" s="296"/>
      <c r="FH90" s="296"/>
      <c r="FI90" s="296"/>
      <c r="FJ90" s="296"/>
      <c r="FK90" s="296"/>
      <c r="FL90" s="296"/>
      <c r="FM90" s="296"/>
      <c r="FN90" s="296"/>
      <c r="FO90" s="296"/>
      <c r="FP90" s="296"/>
      <c r="FQ90" s="296"/>
      <c r="FR90" s="296"/>
      <c r="FS90" s="296"/>
      <c r="FT90" s="296"/>
      <c r="FU90" s="296"/>
      <c r="FV90" s="296"/>
      <c r="FW90" s="296"/>
      <c r="FX90" s="296"/>
      <c r="FY90" s="296"/>
      <c r="FZ90" s="296"/>
      <c r="GA90" s="296"/>
      <c r="GB90" s="296"/>
      <c r="GC90" s="296"/>
      <c r="GD90" s="296"/>
      <c r="GE90" s="296"/>
      <c r="GF90" s="296"/>
      <c r="GG90" s="296"/>
      <c r="GH90" s="296"/>
      <c r="GI90" s="296"/>
      <c r="GJ90" s="296"/>
      <c r="GK90" s="296"/>
      <c r="GL90" s="296"/>
      <c r="GM90" s="296"/>
      <c r="GN90" s="296"/>
      <c r="GO90" s="296"/>
      <c r="GP90" s="296"/>
      <c r="GQ90" s="296"/>
      <c r="GR90" s="296"/>
      <c r="GS90" s="296"/>
      <c r="GT90" s="296"/>
      <c r="GU90" s="296"/>
      <c r="GV90" s="296"/>
      <c r="GW90" s="296"/>
      <c r="GX90" s="296"/>
      <c r="GY90" s="296"/>
      <c r="GZ90" s="296"/>
      <c r="HA90" s="296"/>
      <c r="HB90" s="296"/>
      <c r="HC90" s="296"/>
      <c r="HD90" s="296"/>
      <c r="HE90" s="296"/>
      <c r="HF90" s="296"/>
      <c r="HG90" s="296"/>
      <c r="HH90" s="296"/>
      <c r="HI90" s="296"/>
      <c r="HJ90" s="296"/>
      <c r="HK90" s="296"/>
      <c r="HL90" s="296"/>
      <c r="HM90" s="296"/>
      <c r="HN90" s="296"/>
      <c r="HO90" s="296"/>
      <c r="HP90" s="296"/>
      <c r="HQ90" s="296"/>
      <c r="HR90" s="296"/>
      <c r="HS90" s="296"/>
      <c r="HT90" s="296"/>
      <c r="HU90" s="296"/>
      <c r="HV90" s="296"/>
      <c r="HW90" s="296"/>
      <c r="HX90" s="296"/>
      <c r="HY90" s="296"/>
      <c r="HZ90" s="296"/>
      <c r="IA90" s="296"/>
      <c r="IB90" s="296"/>
      <c r="IC90" s="296"/>
      <c r="ID90" s="296"/>
      <c r="IE90" s="296"/>
      <c r="IF90" s="296"/>
      <c r="IG90" s="296"/>
      <c r="IH90" s="296"/>
      <c r="II90" s="296"/>
      <c r="IJ90" s="296"/>
      <c r="IK90" s="296"/>
      <c r="IL90" s="296"/>
      <c r="IM90" s="296"/>
      <c r="IN90" s="296"/>
      <c r="IO90" s="296"/>
      <c r="IP90" s="296"/>
      <c r="IQ90" s="296"/>
      <c r="IR90" s="296"/>
      <c r="IS90" s="296"/>
      <c r="IT90" s="296"/>
      <c r="IU90" s="296"/>
      <c r="IV90" s="296"/>
    </row>
    <row r="91" spans="1:256" customFormat="1" ht="12.75" customHeight="1">
      <c r="A91" s="296"/>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296"/>
      <c r="CD91" s="296"/>
      <c r="CE91" s="296"/>
      <c r="CF91" s="296"/>
      <c r="CG91" s="296"/>
      <c r="CH91" s="296"/>
      <c r="CI91" s="296"/>
      <c r="CJ91" s="296"/>
      <c r="CK91" s="296"/>
      <c r="CL91" s="296"/>
      <c r="CM91" s="296"/>
      <c r="CN91" s="296"/>
      <c r="CO91" s="296"/>
      <c r="CP91" s="296"/>
      <c r="CQ91" s="296"/>
      <c r="CR91" s="296"/>
      <c r="CS91" s="296"/>
      <c r="CT91" s="296"/>
      <c r="CU91" s="296"/>
      <c r="CV91" s="296"/>
      <c r="CW91" s="296"/>
      <c r="CX91" s="296"/>
      <c r="CY91" s="296"/>
      <c r="CZ91" s="296"/>
      <c r="DA91" s="296"/>
      <c r="DB91" s="296"/>
      <c r="DC91" s="296"/>
      <c r="DD91" s="296"/>
      <c r="DE91" s="296"/>
      <c r="DF91" s="296"/>
      <c r="DG91" s="296"/>
      <c r="DH91" s="296"/>
      <c r="DI91" s="296"/>
      <c r="DJ91" s="296"/>
      <c r="DK91" s="296"/>
      <c r="DL91" s="296"/>
      <c r="DM91" s="296"/>
      <c r="DN91" s="296"/>
      <c r="DO91" s="296"/>
      <c r="DP91" s="296"/>
      <c r="DQ91" s="296"/>
      <c r="DR91" s="296"/>
      <c r="DS91" s="296"/>
      <c r="DT91" s="296"/>
      <c r="DU91" s="296"/>
      <c r="DV91" s="296"/>
      <c r="DW91" s="296"/>
      <c r="DX91" s="296"/>
      <c r="DY91" s="296"/>
      <c r="DZ91" s="296"/>
      <c r="EA91" s="296"/>
      <c r="EB91" s="296"/>
      <c r="EC91" s="296"/>
      <c r="ED91" s="296"/>
      <c r="EE91" s="296"/>
      <c r="EF91" s="296"/>
      <c r="EG91" s="296"/>
      <c r="EH91" s="296"/>
      <c r="EI91" s="296"/>
      <c r="EJ91" s="296"/>
      <c r="EK91" s="296"/>
      <c r="EL91" s="296"/>
      <c r="EM91" s="296"/>
      <c r="EN91" s="296"/>
      <c r="EO91" s="296"/>
      <c r="EP91" s="296"/>
      <c r="EQ91" s="296"/>
      <c r="ER91" s="296"/>
      <c r="ES91" s="296"/>
      <c r="ET91" s="296"/>
      <c r="EU91" s="296"/>
      <c r="EV91" s="296"/>
      <c r="EW91" s="296"/>
      <c r="EX91" s="296"/>
      <c r="EY91" s="296"/>
      <c r="EZ91" s="296"/>
      <c r="FA91" s="296"/>
      <c r="FB91" s="296"/>
      <c r="FC91" s="296"/>
      <c r="FD91" s="296"/>
      <c r="FE91" s="296"/>
      <c r="FF91" s="296"/>
      <c r="FG91" s="296"/>
      <c r="FH91" s="296"/>
      <c r="FI91" s="296"/>
      <c r="FJ91" s="296"/>
      <c r="FK91" s="296"/>
      <c r="FL91" s="296"/>
      <c r="FM91" s="296"/>
      <c r="FN91" s="296"/>
      <c r="FO91" s="296"/>
      <c r="FP91" s="296"/>
      <c r="FQ91" s="296"/>
      <c r="FR91" s="296"/>
      <c r="FS91" s="296"/>
      <c r="FT91" s="296"/>
      <c r="FU91" s="296"/>
      <c r="FV91" s="296"/>
      <c r="FW91" s="296"/>
      <c r="FX91" s="296"/>
      <c r="FY91" s="296"/>
      <c r="FZ91" s="296"/>
      <c r="GA91" s="296"/>
      <c r="GB91" s="296"/>
      <c r="GC91" s="296"/>
      <c r="GD91" s="296"/>
      <c r="GE91" s="296"/>
      <c r="GF91" s="296"/>
      <c r="GG91" s="296"/>
      <c r="GH91" s="296"/>
      <c r="GI91" s="296"/>
      <c r="GJ91" s="296"/>
      <c r="GK91" s="296"/>
      <c r="GL91" s="296"/>
      <c r="GM91" s="296"/>
      <c r="GN91" s="296"/>
      <c r="GO91" s="296"/>
      <c r="GP91" s="296"/>
      <c r="GQ91" s="296"/>
      <c r="GR91" s="296"/>
      <c r="GS91" s="296"/>
      <c r="GT91" s="296"/>
      <c r="GU91" s="296"/>
      <c r="GV91" s="296"/>
      <c r="GW91" s="296"/>
      <c r="GX91" s="296"/>
      <c r="GY91" s="296"/>
      <c r="GZ91" s="296"/>
      <c r="HA91" s="296"/>
      <c r="HB91" s="296"/>
      <c r="HC91" s="296"/>
      <c r="HD91" s="296"/>
      <c r="HE91" s="296"/>
      <c r="HF91" s="296"/>
      <c r="HG91" s="296"/>
      <c r="HH91" s="296"/>
      <c r="HI91" s="296"/>
      <c r="HJ91" s="296"/>
      <c r="HK91" s="296"/>
      <c r="HL91" s="296"/>
      <c r="HM91" s="296"/>
      <c r="HN91" s="296"/>
      <c r="HO91" s="296"/>
      <c r="HP91" s="296"/>
      <c r="HQ91" s="296"/>
      <c r="HR91" s="296"/>
      <c r="HS91" s="296"/>
      <c r="HT91" s="296"/>
      <c r="HU91" s="296"/>
      <c r="HV91" s="296"/>
      <c r="HW91" s="296"/>
      <c r="HX91" s="296"/>
      <c r="HY91" s="296"/>
      <c r="HZ91" s="296"/>
      <c r="IA91" s="296"/>
      <c r="IB91" s="296"/>
      <c r="IC91" s="296"/>
      <c r="ID91" s="296"/>
      <c r="IE91" s="296"/>
      <c r="IF91" s="296"/>
      <c r="IG91" s="296"/>
      <c r="IH91" s="296"/>
      <c r="II91" s="296"/>
      <c r="IJ91" s="296"/>
      <c r="IK91" s="296"/>
      <c r="IL91" s="296"/>
      <c r="IM91" s="296"/>
      <c r="IN91" s="296"/>
      <c r="IO91" s="296"/>
      <c r="IP91" s="296"/>
      <c r="IQ91" s="296"/>
      <c r="IR91" s="296"/>
      <c r="IS91" s="296"/>
      <c r="IT91" s="296"/>
      <c r="IU91" s="296"/>
      <c r="IV91" s="296"/>
    </row>
    <row r="92" spans="1:256" customFormat="1" ht="12.75" customHeight="1">
      <c r="A92" s="296"/>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296"/>
      <c r="CJ92" s="296"/>
      <c r="CK92" s="296"/>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296"/>
      <c r="FF92" s="296"/>
      <c r="FG92" s="296"/>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296"/>
      <c r="GQ92" s="296"/>
      <c r="GR92" s="296"/>
      <c r="GS92" s="296"/>
      <c r="GT92" s="296"/>
      <c r="GU92" s="296"/>
      <c r="GV92" s="296"/>
      <c r="GW92" s="296"/>
      <c r="GX92" s="296"/>
      <c r="GY92" s="296"/>
      <c r="GZ92" s="296"/>
      <c r="HA92" s="296"/>
      <c r="HB92" s="296"/>
      <c r="HC92" s="296"/>
      <c r="HD92" s="296"/>
      <c r="HE92" s="296"/>
      <c r="HF92" s="296"/>
      <c r="HG92" s="296"/>
      <c r="HH92" s="296"/>
      <c r="HI92" s="296"/>
      <c r="HJ92" s="296"/>
      <c r="HK92" s="296"/>
      <c r="HL92" s="296"/>
      <c r="HM92" s="296"/>
      <c r="HN92" s="296"/>
      <c r="HO92" s="296"/>
      <c r="HP92" s="296"/>
      <c r="HQ92" s="296"/>
      <c r="HR92" s="296"/>
      <c r="HS92" s="296"/>
      <c r="HT92" s="296"/>
      <c r="HU92" s="296"/>
      <c r="HV92" s="296"/>
      <c r="HW92" s="296"/>
      <c r="HX92" s="296"/>
      <c r="HY92" s="296"/>
      <c r="HZ92" s="296"/>
      <c r="IA92" s="296"/>
      <c r="IB92" s="296"/>
      <c r="IC92" s="296"/>
      <c r="ID92" s="296"/>
      <c r="IE92" s="296"/>
      <c r="IF92" s="296"/>
      <c r="IG92" s="296"/>
      <c r="IH92" s="296"/>
      <c r="II92" s="296"/>
      <c r="IJ92" s="296"/>
      <c r="IK92" s="296"/>
      <c r="IL92" s="296"/>
      <c r="IM92" s="296"/>
      <c r="IN92" s="296"/>
      <c r="IO92" s="296"/>
      <c r="IP92" s="296"/>
      <c r="IQ92" s="296"/>
      <c r="IR92" s="296"/>
      <c r="IS92" s="296"/>
      <c r="IT92" s="296"/>
      <c r="IU92" s="296"/>
      <c r="IV92" s="296"/>
    </row>
    <row r="93" spans="1:256" customFormat="1" ht="12.75" customHeight="1">
      <c r="A93" s="296"/>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296"/>
      <c r="CD93" s="296"/>
      <c r="CE93" s="296"/>
      <c r="CF93" s="296"/>
      <c r="CG93" s="296"/>
      <c r="CH93" s="296"/>
      <c r="CI93" s="296"/>
      <c r="CJ93" s="296"/>
      <c r="CK93" s="296"/>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c r="FC93" s="296"/>
      <c r="FD93" s="296"/>
      <c r="FE93" s="296"/>
      <c r="FF93" s="296"/>
      <c r="FG93" s="296"/>
      <c r="FH93" s="296"/>
      <c r="FI93" s="296"/>
      <c r="FJ93" s="296"/>
      <c r="FK93" s="296"/>
      <c r="FL93" s="296"/>
      <c r="FM93" s="296"/>
      <c r="FN93" s="296"/>
      <c r="FO93" s="296"/>
      <c r="FP93" s="296"/>
      <c r="FQ93" s="296"/>
      <c r="FR93" s="296"/>
      <c r="FS93" s="296"/>
      <c r="FT93" s="296"/>
      <c r="FU93" s="296"/>
      <c r="FV93" s="296"/>
      <c r="FW93" s="296"/>
      <c r="FX93" s="296"/>
      <c r="FY93" s="296"/>
      <c r="FZ93" s="296"/>
      <c r="GA93" s="296"/>
      <c r="GB93" s="296"/>
      <c r="GC93" s="296"/>
      <c r="GD93" s="296"/>
      <c r="GE93" s="296"/>
      <c r="GF93" s="296"/>
      <c r="GG93" s="296"/>
      <c r="GH93" s="296"/>
      <c r="GI93" s="296"/>
      <c r="GJ93" s="296"/>
      <c r="GK93" s="296"/>
      <c r="GL93" s="296"/>
      <c r="GM93" s="296"/>
      <c r="GN93" s="296"/>
      <c r="GO93" s="296"/>
      <c r="GP93" s="296"/>
      <c r="GQ93" s="296"/>
      <c r="GR93" s="296"/>
      <c r="GS93" s="296"/>
      <c r="GT93" s="296"/>
      <c r="GU93" s="296"/>
      <c r="GV93" s="296"/>
      <c r="GW93" s="296"/>
      <c r="GX93" s="296"/>
      <c r="GY93" s="296"/>
      <c r="GZ93" s="296"/>
      <c r="HA93" s="296"/>
      <c r="HB93" s="296"/>
      <c r="HC93" s="296"/>
      <c r="HD93" s="296"/>
      <c r="HE93" s="296"/>
      <c r="HF93" s="296"/>
      <c r="HG93" s="296"/>
      <c r="HH93" s="296"/>
      <c r="HI93" s="296"/>
      <c r="HJ93" s="296"/>
      <c r="HK93" s="296"/>
      <c r="HL93" s="296"/>
      <c r="HM93" s="296"/>
      <c r="HN93" s="296"/>
      <c r="HO93" s="296"/>
      <c r="HP93" s="296"/>
      <c r="HQ93" s="296"/>
      <c r="HR93" s="296"/>
      <c r="HS93" s="296"/>
      <c r="HT93" s="296"/>
      <c r="HU93" s="296"/>
      <c r="HV93" s="296"/>
      <c r="HW93" s="296"/>
      <c r="HX93" s="296"/>
      <c r="HY93" s="296"/>
      <c r="HZ93" s="296"/>
      <c r="IA93" s="296"/>
      <c r="IB93" s="296"/>
      <c r="IC93" s="296"/>
      <c r="ID93" s="296"/>
      <c r="IE93" s="296"/>
      <c r="IF93" s="296"/>
      <c r="IG93" s="296"/>
      <c r="IH93" s="296"/>
      <c r="II93" s="296"/>
      <c r="IJ93" s="296"/>
      <c r="IK93" s="296"/>
      <c r="IL93" s="296"/>
      <c r="IM93" s="296"/>
      <c r="IN93" s="296"/>
      <c r="IO93" s="296"/>
      <c r="IP93" s="296"/>
      <c r="IQ93" s="296"/>
      <c r="IR93" s="296"/>
      <c r="IS93" s="296"/>
      <c r="IT93" s="296"/>
      <c r="IU93" s="296"/>
      <c r="IV93" s="296"/>
    </row>
    <row r="94" spans="1:256" customFormat="1" ht="12.75" customHeight="1">
      <c r="A94" s="296"/>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296"/>
      <c r="CD94" s="296"/>
      <c r="CE94" s="296"/>
      <c r="CF94" s="296"/>
      <c r="CG94" s="296"/>
      <c r="CH94" s="296"/>
      <c r="CI94" s="296"/>
      <c r="CJ94" s="296"/>
      <c r="CK94" s="296"/>
      <c r="CL94" s="296"/>
      <c r="CM94" s="296"/>
      <c r="CN94" s="296"/>
      <c r="CO94" s="296"/>
      <c r="CP94" s="296"/>
      <c r="CQ94" s="296"/>
      <c r="CR94" s="296"/>
      <c r="CS94" s="296"/>
      <c r="CT94" s="296"/>
      <c r="CU94" s="296"/>
      <c r="CV94" s="296"/>
      <c r="CW94" s="296"/>
      <c r="CX94" s="296"/>
      <c r="CY94" s="296"/>
      <c r="CZ94" s="296"/>
      <c r="DA94" s="296"/>
      <c r="DB94" s="296"/>
      <c r="DC94" s="296"/>
      <c r="DD94" s="296"/>
      <c r="DE94" s="296"/>
      <c r="DF94" s="296"/>
      <c r="DG94" s="296"/>
      <c r="DH94" s="296"/>
      <c r="DI94" s="296"/>
      <c r="DJ94" s="296"/>
      <c r="DK94" s="296"/>
      <c r="DL94" s="296"/>
      <c r="DM94" s="296"/>
      <c r="DN94" s="296"/>
      <c r="DO94" s="296"/>
      <c r="DP94" s="296"/>
      <c r="DQ94" s="296"/>
      <c r="DR94" s="296"/>
      <c r="DS94" s="296"/>
      <c r="DT94" s="296"/>
      <c r="DU94" s="296"/>
      <c r="DV94" s="296"/>
      <c r="DW94" s="296"/>
      <c r="DX94" s="296"/>
      <c r="DY94" s="296"/>
      <c r="DZ94" s="296"/>
      <c r="EA94" s="296"/>
      <c r="EB94" s="296"/>
      <c r="EC94" s="296"/>
      <c r="ED94" s="296"/>
      <c r="EE94" s="296"/>
      <c r="EF94" s="296"/>
      <c r="EG94" s="296"/>
      <c r="EH94" s="296"/>
      <c r="EI94" s="296"/>
      <c r="EJ94" s="296"/>
      <c r="EK94" s="296"/>
      <c r="EL94" s="296"/>
      <c r="EM94" s="296"/>
      <c r="EN94" s="296"/>
      <c r="EO94" s="296"/>
      <c r="EP94" s="296"/>
      <c r="EQ94" s="296"/>
      <c r="ER94" s="296"/>
      <c r="ES94" s="296"/>
      <c r="ET94" s="296"/>
      <c r="EU94" s="296"/>
      <c r="EV94" s="296"/>
      <c r="EW94" s="296"/>
      <c r="EX94" s="296"/>
      <c r="EY94" s="296"/>
      <c r="EZ94" s="296"/>
      <c r="FA94" s="296"/>
      <c r="FB94" s="296"/>
      <c r="FC94" s="296"/>
      <c r="FD94" s="296"/>
      <c r="FE94" s="296"/>
      <c r="FF94" s="296"/>
      <c r="FG94" s="296"/>
      <c r="FH94" s="296"/>
      <c r="FI94" s="296"/>
      <c r="FJ94" s="296"/>
      <c r="FK94" s="296"/>
      <c r="FL94" s="296"/>
      <c r="FM94" s="296"/>
      <c r="FN94" s="296"/>
      <c r="FO94" s="296"/>
      <c r="FP94" s="296"/>
      <c r="FQ94" s="296"/>
      <c r="FR94" s="296"/>
      <c r="FS94" s="296"/>
      <c r="FT94" s="296"/>
      <c r="FU94" s="296"/>
      <c r="FV94" s="296"/>
      <c r="FW94" s="296"/>
      <c r="FX94" s="296"/>
      <c r="FY94" s="296"/>
      <c r="FZ94" s="296"/>
      <c r="GA94" s="296"/>
      <c r="GB94" s="296"/>
      <c r="GC94" s="296"/>
      <c r="GD94" s="296"/>
      <c r="GE94" s="296"/>
      <c r="GF94" s="296"/>
      <c r="GG94" s="296"/>
      <c r="GH94" s="296"/>
      <c r="GI94" s="296"/>
      <c r="GJ94" s="296"/>
      <c r="GK94" s="296"/>
      <c r="GL94" s="296"/>
      <c r="GM94" s="296"/>
      <c r="GN94" s="296"/>
      <c r="GO94" s="296"/>
      <c r="GP94" s="296"/>
      <c r="GQ94" s="296"/>
      <c r="GR94" s="296"/>
      <c r="GS94" s="296"/>
      <c r="GT94" s="296"/>
      <c r="GU94" s="296"/>
      <c r="GV94" s="296"/>
      <c r="GW94" s="296"/>
      <c r="GX94" s="296"/>
      <c r="GY94" s="296"/>
      <c r="GZ94" s="296"/>
      <c r="HA94" s="296"/>
      <c r="HB94" s="296"/>
      <c r="HC94" s="296"/>
      <c r="HD94" s="296"/>
      <c r="HE94" s="296"/>
      <c r="HF94" s="296"/>
      <c r="HG94" s="296"/>
      <c r="HH94" s="296"/>
      <c r="HI94" s="296"/>
      <c r="HJ94" s="296"/>
      <c r="HK94" s="296"/>
      <c r="HL94" s="296"/>
      <c r="HM94" s="296"/>
      <c r="HN94" s="296"/>
      <c r="HO94" s="296"/>
      <c r="HP94" s="296"/>
      <c r="HQ94" s="296"/>
      <c r="HR94" s="296"/>
      <c r="HS94" s="296"/>
      <c r="HT94" s="296"/>
      <c r="HU94" s="296"/>
      <c r="HV94" s="296"/>
      <c r="HW94" s="296"/>
      <c r="HX94" s="296"/>
      <c r="HY94" s="296"/>
      <c r="HZ94" s="296"/>
      <c r="IA94" s="296"/>
      <c r="IB94" s="296"/>
      <c r="IC94" s="296"/>
      <c r="ID94" s="296"/>
      <c r="IE94" s="296"/>
      <c r="IF94" s="296"/>
      <c r="IG94" s="296"/>
      <c r="IH94" s="296"/>
      <c r="II94" s="296"/>
      <c r="IJ94" s="296"/>
      <c r="IK94" s="296"/>
      <c r="IL94" s="296"/>
      <c r="IM94" s="296"/>
      <c r="IN94" s="296"/>
      <c r="IO94" s="296"/>
      <c r="IP94" s="296"/>
      <c r="IQ94" s="296"/>
      <c r="IR94" s="296"/>
      <c r="IS94" s="296"/>
      <c r="IT94" s="296"/>
      <c r="IU94" s="296"/>
      <c r="IV94" s="296"/>
    </row>
    <row r="95" spans="1:256" customFormat="1" ht="12.75" customHeight="1">
      <c r="A95" s="296"/>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6"/>
      <c r="CG95" s="296"/>
      <c r="CH95" s="296"/>
      <c r="CI95" s="296"/>
      <c r="CJ95" s="296"/>
      <c r="CK95" s="296"/>
      <c r="CL95" s="296"/>
      <c r="CM95" s="296"/>
      <c r="CN95" s="296"/>
      <c r="CO95" s="296"/>
      <c r="CP95" s="296"/>
      <c r="CQ95" s="296"/>
      <c r="CR95" s="296"/>
      <c r="CS95" s="296"/>
      <c r="CT95" s="296"/>
      <c r="CU95" s="296"/>
      <c r="CV95" s="296"/>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296"/>
      <c r="EV95" s="296"/>
      <c r="EW95" s="296"/>
      <c r="EX95" s="296"/>
      <c r="EY95" s="296"/>
      <c r="EZ95" s="296"/>
      <c r="FA95" s="296"/>
      <c r="FB95" s="296"/>
      <c r="FC95" s="296"/>
      <c r="FD95" s="296"/>
      <c r="FE95" s="296"/>
      <c r="FF95" s="296"/>
      <c r="FG95" s="296"/>
      <c r="FH95" s="296"/>
      <c r="FI95" s="296"/>
      <c r="FJ95" s="296"/>
      <c r="FK95" s="296"/>
      <c r="FL95" s="296"/>
      <c r="FM95" s="296"/>
      <c r="FN95" s="296"/>
      <c r="FO95" s="296"/>
      <c r="FP95" s="296"/>
      <c r="FQ95" s="296"/>
      <c r="FR95" s="296"/>
      <c r="FS95" s="296"/>
      <c r="FT95" s="296"/>
      <c r="FU95" s="296"/>
      <c r="FV95" s="296"/>
      <c r="FW95" s="296"/>
      <c r="FX95" s="296"/>
      <c r="FY95" s="296"/>
      <c r="FZ95" s="296"/>
      <c r="GA95" s="296"/>
      <c r="GB95" s="296"/>
      <c r="GC95" s="296"/>
      <c r="GD95" s="296"/>
      <c r="GE95" s="296"/>
      <c r="GF95" s="296"/>
      <c r="GG95" s="296"/>
      <c r="GH95" s="296"/>
      <c r="GI95" s="296"/>
      <c r="GJ95" s="296"/>
      <c r="GK95" s="296"/>
      <c r="GL95" s="296"/>
      <c r="GM95" s="296"/>
      <c r="GN95" s="296"/>
      <c r="GO95" s="296"/>
      <c r="GP95" s="296"/>
      <c r="GQ95" s="296"/>
      <c r="GR95" s="296"/>
      <c r="GS95" s="296"/>
      <c r="GT95" s="296"/>
      <c r="GU95" s="296"/>
      <c r="GV95" s="296"/>
      <c r="GW95" s="296"/>
      <c r="GX95" s="296"/>
      <c r="GY95" s="296"/>
      <c r="GZ95" s="296"/>
      <c r="HA95" s="296"/>
      <c r="HB95" s="296"/>
      <c r="HC95" s="296"/>
      <c r="HD95" s="296"/>
      <c r="HE95" s="296"/>
      <c r="HF95" s="296"/>
      <c r="HG95" s="296"/>
      <c r="HH95" s="296"/>
      <c r="HI95" s="296"/>
      <c r="HJ95" s="296"/>
      <c r="HK95" s="296"/>
      <c r="HL95" s="296"/>
      <c r="HM95" s="296"/>
      <c r="HN95" s="296"/>
      <c r="HO95" s="296"/>
      <c r="HP95" s="296"/>
      <c r="HQ95" s="296"/>
      <c r="HR95" s="296"/>
      <c r="HS95" s="296"/>
      <c r="HT95" s="296"/>
      <c r="HU95" s="296"/>
      <c r="HV95" s="296"/>
      <c r="HW95" s="296"/>
      <c r="HX95" s="296"/>
      <c r="HY95" s="296"/>
      <c r="HZ95" s="296"/>
      <c r="IA95" s="296"/>
      <c r="IB95" s="296"/>
      <c r="IC95" s="296"/>
      <c r="ID95" s="296"/>
      <c r="IE95" s="296"/>
      <c r="IF95" s="296"/>
      <c r="IG95" s="296"/>
      <c r="IH95" s="296"/>
      <c r="II95" s="296"/>
      <c r="IJ95" s="296"/>
      <c r="IK95" s="296"/>
      <c r="IL95" s="296"/>
      <c r="IM95" s="296"/>
      <c r="IN95" s="296"/>
      <c r="IO95" s="296"/>
      <c r="IP95" s="296"/>
      <c r="IQ95" s="296"/>
      <c r="IR95" s="296"/>
      <c r="IS95" s="296"/>
      <c r="IT95" s="296"/>
      <c r="IU95" s="296"/>
      <c r="IV95" s="296"/>
    </row>
    <row r="96" spans="1:256" customFormat="1" ht="12.75" customHeight="1">
      <c r="A96" s="296"/>
      <c r="B96" s="296"/>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c r="CA96" s="296"/>
      <c r="CB96" s="296"/>
      <c r="CC96" s="296"/>
      <c r="CD96" s="296"/>
      <c r="CE96" s="296"/>
      <c r="CF96" s="296"/>
      <c r="CG96" s="296"/>
      <c r="CH96" s="296"/>
      <c r="CI96" s="296"/>
      <c r="CJ96" s="296"/>
      <c r="CK96" s="296"/>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296"/>
      <c r="DU96" s="296"/>
      <c r="DV96" s="296"/>
      <c r="DW96" s="296"/>
      <c r="DX96" s="296"/>
      <c r="DY96" s="296"/>
      <c r="DZ96" s="296"/>
      <c r="EA96" s="296"/>
      <c r="EB96" s="296"/>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296"/>
      <c r="FF96" s="296"/>
      <c r="FG96" s="296"/>
      <c r="FH96" s="296"/>
      <c r="FI96" s="296"/>
      <c r="FJ96" s="296"/>
      <c r="FK96" s="296"/>
      <c r="FL96" s="296"/>
      <c r="FM96" s="296"/>
      <c r="FN96" s="296"/>
      <c r="FO96" s="296"/>
      <c r="FP96" s="296"/>
      <c r="FQ96" s="296"/>
      <c r="FR96" s="296"/>
      <c r="FS96" s="296"/>
      <c r="FT96" s="296"/>
      <c r="FU96" s="296"/>
      <c r="FV96" s="296"/>
      <c r="FW96" s="296"/>
      <c r="FX96" s="296"/>
      <c r="FY96" s="296"/>
      <c r="FZ96" s="296"/>
      <c r="GA96" s="296"/>
      <c r="GB96" s="296"/>
      <c r="GC96" s="296"/>
      <c r="GD96" s="296"/>
      <c r="GE96" s="296"/>
      <c r="GF96" s="296"/>
      <c r="GG96" s="296"/>
      <c r="GH96" s="296"/>
      <c r="GI96" s="296"/>
      <c r="GJ96" s="296"/>
      <c r="GK96" s="296"/>
      <c r="GL96" s="296"/>
      <c r="GM96" s="296"/>
      <c r="GN96" s="296"/>
      <c r="GO96" s="296"/>
      <c r="GP96" s="296"/>
      <c r="GQ96" s="296"/>
      <c r="GR96" s="296"/>
      <c r="GS96" s="296"/>
      <c r="GT96" s="296"/>
      <c r="GU96" s="296"/>
      <c r="GV96" s="296"/>
      <c r="GW96" s="296"/>
      <c r="GX96" s="296"/>
      <c r="GY96" s="296"/>
      <c r="GZ96" s="296"/>
      <c r="HA96" s="296"/>
      <c r="HB96" s="296"/>
      <c r="HC96" s="296"/>
      <c r="HD96" s="296"/>
      <c r="HE96" s="296"/>
      <c r="HF96" s="296"/>
      <c r="HG96" s="296"/>
      <c r="HH96" s="296"/>
      <c r="HI96" s="296"/>
      <c r="HJ96" s="296"/>
      <c r="HK96" s="296"/>
      <c r="HL96" s="296"/>
      <c r="HM96" s="296"/>
      <c r="HN96" s="296"/>
      <c r="HO96" s="296"/>
      <c r="HP96" s="296"/>
      <c r="HQ96" s="296"/>
      <c r="HR96" s="296"/>
      <c r="HS96" s="296"/>
      <c r="HT96" s="296"/>
      <c r="HU96" s="296"/>
      <c r="HV96" s="296"/>
      <c r="HW96" s="296"/>
      <c r="HX96" s="296"/>
      <c r="HY96" s="296"/>
      <c r="HZ96" s="296"/>
      <c r="IA96" s="296"/>
      <c r="IB96" s="296"/>
      <c r="IC96" s="296"/>
      <c r="ID96" s="296"/>
      <c r="IE96" s="296"/>
      <c r="IF96" s="296"/>
      <c r="IG96" s="296"/>
      <c r="IH96" s="296"/>
      <c r="II96" s="296"/>
      <c r="IJ96" s="296"/>
      <c r="IK96" s="296"/>
      <c r="IL96" s="296"/>
      <c r="IM96" s="296"/>
      <c r="IN96" s="296"/>
      <c r="IO96" s="296"/>
      <c r="IP96" s="296"/>
      <c r="IQ96" s="296"/>
      <c r="IR96" s="296"/>
      <c r="IS96" s="296"/>
      <c r="IT96" s="296"/>
      <c r="IU96" s="296"/>
      <c r="IV96" s="296"/>
    </row>
    <row r="97" spans="1:256" customFormat="1" ht="12.75" customHeight="1">
      <c r="A97" s="296"/>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c r="CA97" s="296"/>
      <c r="CB97" s="296"/>
      <c r="CC97" s="296"/>
      <c r="CD97" s="296"/>
      <c r="CE97" s="296"/>
      <c r="CF97" s="296"/>
      <c r="CG97" s="296"/>
      <c r="CH97" s="296"/>
      <c r="CI97" s="296"/>
      <c r="CJ97" s="296"/>
      <c r="CK97" s="296"/>
      <c r="CL97" s="296"/>
      <c r="CM97" s="296"/>
      <c r="CN97" s="296"/>
      <c r="CO97" s="296"/>
      <c r="CP97" s="296"/>
      <c r="CQ97" s="296"/>
      <c r="CR97" s="296"/>
      <c r="CS97" s="296"/>
      <c r="CT97" s="296"/>
      <c r="CU97" s="296"/>
      <c r="CV97" s="296"/>
      <c r="CW97" s="296"/>
      <c r="CX97" s="296"/>
      <c r="CY97" s="296"/>
      <c r="CZ97" s="296"/>
      <c r="DA97" s="296"/>
      <c r="DB97" s="296"/>
      <c r="DC97" s="296"/>
      <c r="DD97" s="296"/>
      <c r="DE97" s="296"/>
      <c r="DF97" s="296"/>
      <c r="DG97" s="296"/>
      <c r="DH97" s="296"/>
      <c r="DI97" s="296"/>
      <c r="DJ97" s="296"/>
      <c r="DK97" s="296"/>
      <c r="DL97" s="296"/>
      <c r="DM97" s="296"/>
      <c r="DN97" s="296"/>
      <c r="DO97" s="296"/>
      <c r="DP97" s="296"/>
      <c r="DQ97" s="296"/>
      <c r="DR97" s="296"/>
      <c r="DS97" s="296"/>
      <c r="DT97" s="296"/>
      <c r="DU97" s="296"/>
      <c r="DV97" s="296"/>
      <c r="DW97" s="296"/>
      <c r="DX97" s="296"/>
      <c r="DY97" s="296"/>
      <c r="DZ97" s="296"/>
      <c r="EA97" s="296"/>
      <c r="EB97" s="296"/>
      <c r="EC97" s="296"/>
      <c r="ED97" s="296"/>
      <c r="EE97" s="296"/>
      <c r="EF97" s="296"/>
      <c r="EG97" s="296"/>
      <c r="EH97" s="296"/>
      <c r="EI97" s="296"/>
      <c r="EJ97" s="296"/>
      <c r="EK97" s="296"/>
      <c r="EL97" s="296"/>
      <c r="EM97" s="296"/>
      <c r="EN97" s="296"/>
      <c r="EO97" s="296"/>
      <c r="EP97" s="296"/>
      <c r="EQ97" s="296"/>
      <c r="ER97" s="296"/>
      <c r="ES97" s="296"/>
      <c r="ET97" s="296"/>
      <c r="EU97" s="296"/>
      <c r="EV97" s="296"/>
      <c r="EW97" s="296"/>
      <c r="EX97" s="296"/>
      <c r="EY97" s="296"/>
      <c r="EZ97" s="296"/>
      <c r="FA97" s="296"/>
      <c r="FB97" s="296"/>
      <c r="FC97" s="296"/>
      <c r="FD97" s="296"/>
      <c r="FE97" s="296"/>
      <c r="FF97" s="296"/>
      <c r="FG97" s="296"/>
      <c r="FH97" s="296"/>
      <c r="FI97" s="296"/>
      <c r="FJ97" s="296"/>
      <c r="FK97" s="296"/>
      <c r="FL97" s="296"/>
      <c r="FM97" s="296"/>
      <c r="FN97" s="296"/>
      <c r="FO97" s="296"/>
      <c r="FP97" s="296"/>
      <c r="FQ97" s="296"/>
      <c r="FR97" s="296"/>
      <c r="FS97" s="296"/>
      <c r="FT97" s="296"/>
      <c r="FU97" s="296"/>
      <c r="FV97" s="296"/>
      <c r="FW97" s="296"/>
      <c r="FX97" s="296"/>
      <c r="FY97" s="296"/>
      <c r="FZ97" s="296"/>
      <c r="GA97" s="296"/>
      <c r="GB97" s="296"/>
      <c r="GC97" s="296"/>
      <c r="GD97" s="296"/>
      <c r="GE97" s="296"/>
      <c r="GF97" s="296"/>
      <c r="GG97" s="296"/>
      <c r="GH97" s="296"/>
      <c r="GI97" s="296"/>
      <c r="GJ97" s="296"/>
      <c r="GK97" s="296"/>
      <c r="GL97" s="296"/>
      <c r="GM97" s="296"/>
      <c r="GN97" s="296"/>
      <c r="GO97" s="296"/>
      <c r="GP97" s="296"/>
      <c r="GQ97" s="296"/>
      <c r="GR97" s="296"/>
      <c r="GS97" s="296"/>
      <c r="GT97" s="296"/>
      <c r="GU97" s="296"/>
      <c r="GV97" s="296"/>
      <c r="GW97" s="296"/>
      <c r="GX97" s="296"/>
      <c r="GY97" s="296"/>
      <c r="GZ97" s="296"/>
      <c r="HA97" s="296"/>
      <c r="HB97" s="296"/>
      <c r="HC97" s="296"/>
      <c r="HD97" s="296"/>
      <c r="HE97" s="296"/>
      <c r="HF97" s="296"/>
      <c r="HG97" s="296"/>
      <c r="HH97" s="296"/>
      <c r="HI97" s="296"/>
      <c r="HJ97" s="296"/>
      <c r="HK97" s="296"/>
      <c r="HL97" s="296"/>
      <c r="HM97" s="296"/>
      <c r="HN97" s="296"/>
      <c r="HO97" s="296"/>
      <c r="HP97" s="296"/>
      <c r="HQ97" s="296"/>
      <c r="HR97" s="296"/>
      <c r="HS97" s="296"/>
      <c r="HT97" s="296"/>
      <c r="HU97" s="296"/>
      <c r="HV97" s="296"/>
      <c r="HW97" s="296"/>
      <c r="HX97" s="296"/>
      <c r="HY97" s="296"/>
      <c r="HZ97" s="296"/>
      <c r="IA97" s="296"/>
      <c r="IB97" s="296"/>
      <c r="IC97" s="296"/>
      <c r="ID97" s="296"/>
      <c r="IE97" s="296"/>
      <c r="IF97" s="296"/>
      <c r="IG97" s="296"/>
      <c r="IH97" s="296"/>
      <c r="II97" s="296"/>
      <c r="IJ97" s="296"/>
      <c r="IK97" s="296"/>
      <c r="IL97" s="296"/>
      <c r="IM97" s="296"/>
      <c r="IN97" s="296"/>
      <c r="IO97" s="296"/>
      <c r="IP97" s="296"/>
      <c r="IQ97" s="296"/>
      <c r="IR97" s="296"/>
      <c r="IS97" s="296"/>
      <c r="IT97" s="296"/>
      <c r="IU97" s="296"/>
      <c r="IV97" s="296"/>
    </row>
    <row r="98" spans="1:256" customFormat="1" ht="12.75" customHeight="1">
      <c r="A98" s="296"/>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c r="CA98" s="296"/>
      <c r="CB98" s="296"/>
      <c r="CC98" s="296"/>
      <c r="CD98" s="296"/>
      <c r="CE98" s="296"/>
      <c r="CF98" s="296"/>
      <c r="CG98" s="296"/>
      <c r="CH98" s="296"/>
      <c r="CI98" s="296"/>
      <c r="CJ98" s="296"/>
      <c r="CK98" s="296"/>
      <c r="CL98" s="296"/>
      <c r="CM98" s="296"/>
      <c r="CN98" s="296"/>
      <c r="CO98" s="296"/>
      <c r="CP98" s="296"/>
      <c r="CQ98" s="296"/>
      <c r="CR98" s="296"/>
      <c r="CS98" s="296"/>
      <c r="CT98" s="296"/>
      <c r="CU98" s="296"/>
      <c r="CV98" s="296"/>
      <c r="CW98" s="296"/>
      <c r="CX98" s="296"/>
      <c r="CY98" s="296"/>
      <c r="CZ98" s="296"/>
      <c r="DA98" s="296"/>
      <c r="DB98" s="296"/>
      <c r="DC98" s="296"/>
      <c r="DD98" s="296"/>
      <c r="DE98" s="296"/>
      <c r="DF98" s="296"/>
      <c r="DG98" s="296"/>
      <c r="DH98" s="296"/>
      <c r="DI98" s="296"/>
      <c r="DJ98" s="296"/>
      <c r="DK98" s="296"/>
      <c r="DL98" s="296"/>
      <c r="DM98" s="296"/>
      <c r="DN98" s="296"/>
      <c r="DO98" s="296"/>
      <c r="DP98" s="296"/>
      <c r="DQ98" s="296"/>
      <c r="DR98" s="296"/>
      <c r="DS98" s="296"/>
      <c r="DT98" s="296"/>
      <c r="DU98" s="296"/>
      <c r="DV98" s="296"/>
      <c r="DW98" s="296"/>
      <c r="DX98" s="296"/>
      <c r="DY98" s="296"/>
      <c r="DZ98" s="296"/>
      <c r="EA98" s="296"/>
      <c r="EB98" s="296"/>
      <c r="EC98" s="296"/>
      <c r="ED98" s="296"/>
      <c r="EE98" s="296"/>
      <c r="EF98" s="296"/>
      <c r="EG98" s="296"/>
      <c r="EH98" s="296"/>
      <c r="EI98" s="296"/>
      <c r="EJ98" s="296"/>
      <c r="EK98" s="296"/>
      <c r="EL98" s="296"/>
      <c r="EM98" s="296"/>
      <c r="EN98" s="296"/>
      <c r="EO98" s="296"/>
      <c r="EP98" s="296"/>
      <c r="EQ98" s="296"/>
      <c r="ER98" s="296"/>
      <c r="ES98" s="296"/>
      <c r="ET98" s="296"/>
      <c r="EU98" s="296"/>
      <c r="EV98" s="296"/>
      <c r="EW98" s="296"/>
      <c r="EX98" s="296"/>
      <c r="EY98" s="296"/>
      <c r="EZ98" s="296"/>
      <c r="FA98" s="296"/>
      <c r="FB98" s="296"/>
      <c r="FC98" s="296"/>
      <c r="FD98" s="296"/>
      <c r="FE98" s="296"/>
      <c r="FF98" s="296"/>
      <c r="FG98" s="296"/>
      <c r="FH98" s="296"/>
      <c r="FI98" s="296"/>
      <c r="FJ98" s="296"/>
      <c r="FK98" s="296"/>
      <c r="FL98" s="296"/>
      <c r="FM98" s="296"/>
      <c r="FN98" s="296"/>
      <c r="FO98" s="296"/>
      <c r="FP98" s="296"/>
      <c r="FQ98" s="296"/>
      <c r="FR98" s="296"/>
      <c r="FS98" s="296"/>
      <c r="FT98" s="296"/>
      <c r="FU98" s="296"/>
      <c r="FV98" s="296"/>
      <c r="FW98" s="296"/>
      <c r="FX98" s="296"/>
      <c r="FY98" s="296"/>
      <c r="FZ98" s="296"/>
      <c r="GA98" s="296"/>
      <c r="GB98" s="296"/>
      <c r="GC98" s="296"/>
      <c r="GD98" s="296"/>
      <c r="GE98" s="296"/>
      <c r="GF98" s="296"/>
      <c r="GG98" s="296"/>
      <c r="GH98" s="296"/>
      <c r="GI98" s="296"/>
      <c r="GJ98" s="296"/>
      <c r="GK98" s="296"/>
      <c r="GL98" s="296"/>
      <c r="GM98" s="296"/>
      <c r="GN98" s="296"/>
      <c r="GO98" s="296"/>
      <c r="GP98" s="296"/>
      <c r="GQ98" s="296"/>
      <c r="GR98" s="296"/>
      <c r="GS98" s="296"/>
      <c r="GT98" s="296"/>
      <c r="GU98" s="296"/>
      <c r="GV98" s="296"/>
      <c r="GW98" s="296"/>
      <c r="GX98" s="296"/>
      <c r="GY98" s="296"/>
      <c r="GZ98" s="296"/>
      <c r="HA98" s="296"/>
      <c r="HB98" s="296"/>
      <c r="HC98" s="296"/>
      <c r="HD98" s="296"/>
      <c r="HE98" s="296"/>
      <c r="HF98" s="296"/>
      <c r="HG98" s="296"/>
      <c r="HH98" s="296"/>
      <c r="HI98" s="296"/>
      <c r="HJ98" s="296"/>
      <c r="HK98" s="296"/>
      <c r="HL98" s="296"/>
      <c r="HM98" s="296"/>
      <c r="HN98" s="296"/>
      <c r="HO98" s="296"/>
      <c r="HP98" s="296"/>
      <c r="HQ98" s="296"/>
      <c r="HR98" s="296"/>
      <c r="HS98" s="296"/>
      <c r="HT98" s="296"/>
      <c r="HU98" s="296"/>
      <c r="HV98" s="296"/>
      <c r="HW98" s="296"/>
      <c r="HX98" s="296"/>
      <c r="HY98" s="296"/>
      <c r="HZ98" s="296"/>
      <c r="IA98" s="296"/>
      <c r="IB98" s="296"/>
      <c r="IC98" s="296"/>
      <c r="ID98" s="296"/>
      <c r="IE98" s="296"/>
      <c r="IF98" s="296"/>
      <c r="IG98" s="296"/>
      <c r="IH98" s="296"/>
      <c r="II98" s="296"/>
      <c r="IJ98" s="296"/>
      <c r="IK98" s="296"/>
      <c r="IL98" s="296"/>
      <c r="IM98" s="296"/>
      <c r="IN98" s="296"/>
      <c r="IO98" s="296"/>
      <c r="IP98" s="296"/>
      <c r="IQ98" s="296"/>
      <c r="IR98" s="296"/>
      <c r="IS98" s="296"/>
      <c r="IT98" s="296"/>
      <c r="IU98" s="296"/>
      <c r="IV98" s="296"/>
    </row>
    <row r="99" spans="1:256" customFormat="1" ht="12.75" customHeight="1">
      <c r="A99" s="296"/>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6"/>
      <c r="CB99" s="296"/>
      <c r="CC99" s="296"/>
      <c r="CD99" s="296"/>
      <c r="CE99" s="296"/>
      <c r="CF99" s="296"/>
      <c r="CG99" s="296"/>
      <c r="CH99" s="296"/>
      <c r="CI99" s="296"/>
      <c r="CJ99" s="296"/>
      <c r="CK99" s="296"/>
      <c r="CL99" s="296"/>
      <c r="CM99" s="296"/>
      <c r="CN99" s="296"/>
      <c r="CO99" s="296"/>
      <c r="CP99" s="296"/>
      <c r="CQ99" s="296"/>
      <c r="CR99" s="296"/>
      <c r="CS99" s="296"/>
      <c r="CT99" s="296"/>
      <c r="CU99" s="296"/>
      <c r="CV99" s="296"/>
      <c r="CW99" s="296"/>
      <c r="CX99" s="296"/>
      <c r="CY99" s="296"/>
      <c r="CZ99" s="296"/>
      <c r="DA99" s="296"/>
      <c r="DB99" s="296"/>
      <c r="DC99" s="296"/>
      <c r="DD99" s="296"/>
      <c r="DE99" s="296"/>
      <c r="DF99" s="296"/>
      <c r="DG99" s="296"/>
      <c r="DH99" s="296"/>
      <c r="DI99" s="296"/>
      <c r="DJ99" s="296"/>
      <c r="DK99" s="296"/>
      <c r="DL99" s="296"/>
      <c r="DM99" s="296"/>
      <c r="DN99" s="296"/>
      <c r="DO99" s="296"/>
      <c r="DP99" s="296"/>
      <c r="DQ99" s="296"/>
      <c r="DR99" s="296"/>
      <c r="DS99" s="296"/>
      <c r="DT99" s="296"/>
      <c r="DU99" s="296"/>
      <c r="DV99" s="296"/>
      <c r="DW99" s="296"/>
      <c r="DX99" s="296"/>
      <c r="DY99" s="296"/>
      <c r="DZ99" s="296"/>
      <c r="EA99" s="296"/>
      <c r="EB99" s="296"/>
      <c r="EC99" s="296"/>
      <c r="ED99" s="296"/>
      <c r="EE99" s="296"/>
      <c r="EF99" s="296"/>
      <c r="EG99" s="296"/>
      <c r="EH99" s="296"/>
      <c r="EI99" s="296"/>
      <c r="EJ99" s="296"/>
      <c r="EK99" s="296"/>
      <c r="EL99" s="296"/>
      <c r="EM99" s="296"/>
      <c r="EN99" s="296"/>
      <c r="EO99" s="296"/>
      <c r="EP99" s="296"/>
      <c r="EQ99" s="296"/>
      <c r="ER99" s="296"/>
      <c r="ES99" s="296"/>
      <c r="ET99" s="296"/>
      <c r="EU99" s="296"/>
      <c r="EV99" s="296"/>
      <c r="EW99" s="296"/>
      <c r="EX99" s="296"/>
      <c r="EY99" s="296"/>
      <c r="EZ99" s="296"/>
      <c r="FA99" s="296"/>
      <c r="FB99" s="296"/>
      <c r="FC99" s="296"/>
      <c r="FD99" s="296"/>
      <c r="FE99" s="296"/>
      <c r="FF99" s="296"/>
      <c r="FG99" s="296"/>
      <c r="FH99" s="296"/>
      <c r="FI99" s="296"/>
      <c r="FJ99" s="296"/>
      <c r="FK99" s="296"/>
      <c r="FL99" s="296"/>
      <c r="FM99" s="296"/>
      <c r="FN99" s="296"/>
      <c r="FO99" s="296"/>
      <c r="FP99" s="296"/>
      <c r="FQ99" s="296"/>
      <c r="FR99" s="296"/>
      <c r="FS99" s="296"/>
      <c r="FT99" s="296"/>
      <c r="FU99" s="296"/>
      <c r="FV99" s="296"/>
      <c r="FW99" s="296"/>
      <c r="FX99" s="296"/>
      <c r="FY99" s="296"/>
      <c r="FZ99" s="296"/>
      <c r="GA99" s="296"/>
      <c r="GB99" s="296"/>
      <c r="GC99" s="296"/>
      <c r="GD99" s="296"/>
      <c r="GE99" s="296"/>
      <c r="GF99" s="296"/>
      <c r="GG99" s="296"/>
      <c r="GH99" s="296"/>
      <c r="GI99" s="296"/>
      <c r="GJ99" s="296"/>
      <c r="GK99" s="296"/>
      <c r="GL99" s="296"/>
      <c r="GM99" s="296"/>
      <c r="GN99" s="296"/>
      <c r="GO99" s="296"/>
      <c r="GP99" s="296"/>
      <c r="GQ99" s="296"/>
      <c r="GR99" s="296"/>
      <c r="GS99" s="296"/>
      <c r="GT99" s="296"/>
      <c r="GU99" s="296"/>
      <c r="GV99" s="296"/>
      <c r="GW99" s="296"/>
      <c r="GX99" s="296"/>
      <c r="GY99" s="296"/>
      <c r="GZ99" s="296"/>
      <c r="HA99" s="296"/>
      <c r="HB99" s="296"/>
      <c r="HC99" s="296"/>
      <c r="HD99" s="296"/>
      <c r="HE99" s="296"/>
      <c r="HF99" s="296"/>
      <c r="HG99" s="296"/>
      <c r="HH99" s="296"/>
      <c r="HI99" s="296"/>
      <c r="HJ99" s="296"/>
      <c r="HK99" s="296"/>
      <c r="HL99" s="296"/>
      <c r="HM99" s="296"/>
      <c r="HN99" s="296"/>
      <c r="HO99" s="296"/>
      <c r="HP99" s="296"/>
      <c r="HQ99" s="296"/>
      <c r="HR99" s="296"/>
      <c r="HS99" s="296"/>
      <c r="HT99" s="296"/>
      <c r="HU99" s="296"/>
      <c r="HV99" s="296"/>
      <c r="HW99" s="296"/>
      <c r="HX99" s="296"/>
      <c r="HY99" s="296"/>
      <c r="HZ99" s="296"/>
      <c r="IA99" s="296"/>
      <c r="IB99" s="296"/>
      <c r="IC99" s="296"/>
      <c r="ID99" s="296"/>
      <c r="IE99" s="296"/>
      <c r="IF99" s="296"/>
      <c r="IG99" s="296"/>
      <c r="IH99" s="296"/>
      <c r="II99" s="296"/>
      <c r="IJ99" s="296"/>
      <c r="IK99" s="296"/>
      <c r="IL99" s="296"/>
      <c r="IM99" s="296"/>
      <c r="IN99" s="296"/>
      <c r="IO99" s="296"/>
      <c r="IP99" s="296"/>
      <c r="IQ99" s="296"/>
      <c r="IR99" s="296"/>
      <c r="IS99" s="296"/>
      <c r="IT99" s="296"/>
      <c r="IU99" s="296"/>
      <c r="IV99" s="296"/>
    </row>
    <row r="100" spans="1:256" customFormat="1" ht="12.75" customHeight="1">
      <c r="A100" s="296"/>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c r="CD100" s="296"/>
      <c r="CE100" s="296"/>
      <c r="CF100" s="296"/>
      <c r="CG100" s="296"/>
      <c r="CH100" s="296"/>
      <c r="CI100" s="296"/>
      <c r="CJ100" s="296"/>
      <c r="CK100" s="296"/>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c r="FC100" s="296"/>
      <c r="FD100" s="296"/>
      <c r="FE100" s="296"/>
      <c r="FF100" s="296"/>
      <c r="FG100" s="296"/>
      <c r="FH100" s="296"/>
      <c r="FI100" s="296"/>
      <c r="FJ100" s="296"/>
      <c r="FK100" s="296"/>
      <c r="FL100" s="296"/>
      <c r="FM100" s="296"/>
      <c r="FN100" s="296"/>
      <c r="FO100" s="296"/>
      <c r="FP100" s="296"/>
      <c r="FQ100" s="296"/>
      <c r="FR100" s="296"/>
      <c r="FS100" s="296"/>
      <c r="FT100" s="296"/>
      <c r="FU100" s="296"/>
      <c r="FV100" s="296"/>
      <c r="FW100" s="296"/>
      <c r="FX100" s="296"/>
      <c r="FY100" s="296"/>
      <c r="FZ100" s="296"/>
      <c r="GA100" s="296"/>
      <c r="GB100" s="296"/>
      <c r="GC100" s="296"/>
      <c r="GD100" s="296"/>
      <c r="GE100" s="296"/>
      <c r="GF100" s="296"/>
      <c r="GG100" s="296"/>
      <c r="GH100" s="296"/>
      <c r="GI100" s="296"/>
      <c r="GJ100" s="296"/>
      <c r="GK100" s="296"/>
      <c r="GL100" s="296"/>
      <c r="GM100" s="296"/>
      <c r="GN100" s="296"/>
      <c r="GO100" s="296"/>
      <c r="GP100" s="296"/>
      <c r="GQ100" s="296"/>
      <c r="GR100" s="296"/>
      <c r="GS100" s="296"/>
      <c r="GT100" s="296"/>
      <c r="GU100" s="296"/>
      <c r="GV100" s="296"/>
      <c r="GW100" s="296"/>
      <c r="GX100" s="296"/>
      <c r="GY100" s="296"/>
      <c r="GZ100" s="296"/>
      <c r="HA100" s="296"/>
      <c r="HB100" s="296"/>
      <c r="HC100" s="296"/>
      <c r="HD100" s="296"/>
      <c r="HE100" s="296"/>
      <c r="HF100" s="296"/>
      <c r="HG100" s="296"/>
      <c r="HH100" s="296"/>
      <c r="HI100" s="296"/>
      <c r="HJ100" s="296"/>
      <c r="HK100" s="296"/>
      <c r="HL100" s="296"/>
      <c r="HM100" s="296"/>
      <c r="HN100" s="296"/>
      <c r="HO100" s="296"/>
      <c r="HP100" s="296"/>
      <c r="HQ100" s="296"/>
      <c r="HR100" s="296"/>
      <c r="HS100" s="296"/>
      <c r="HT100" s="296"/>
      <c r="HU100" s="296"/>
      <c r="HV100" s="296"/>
      <c r="HW100" s="296"/>
      <c r="HX100" s="296"/>
      <c r="HY100" s="296"/>
      <c r="HZ100" s="296"/>
      <c r="IA100" s="296"/>
      <c r="IB100" s="296"/>
      <c r="IC100" s="296"/>
      <c r="ID100" s="296"/>
      <c r="IE100" s="296"/>
      <c r="IF100" s="296"/>
      <c r="IG100" s="296"/>
      <c r="IH100" s="296"/>
      <c r="II100" s="296"/>
      <c r="IJ100" s="296"/>
      <c r="IK100" s="296"/>
      <c r="IL100" s="296"/>
      <c r="IM100" s="296"/>
      <c r="IN100" s="296"/>
      <c r="IO100" s="296"/>
      <c r="IP100" s="296"/>
      <c r="IQ100" s="296"/>
      <c r="IR100" s="296"/>
      <c r="IS100" s="296"/>
      <c r="IT100" s="296"/>
      <c r="IU100" s="296"/>
      <c r="IV100" s="296"/>
    </row>
    <row r="101" spans="1:256" customFormat="1" ht="12.75" customHeight="1">
      <c r="A101" s="296"/>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c r="CA101" s="296"/>
      <c r="CB101" s="296"/>
      <c r="CC101" s="296"/>
      <c r="CD101" s="296"/>
      <c r="CE101" s="296"/>
      <c r="CF101" s="296"/>
      <c r="CG101" s="296"/>
      <c r="CH101" s="296"/>
      <c r="CI101" s="296"/>
      <c r="CJ101" s="296"/>
      <c r="CK101" s="296"/>
      <c r="CL101" s="296"/>
      <c r="CM101" s="296"/>
      <c r="CN101" s="296"/>
      <c r="CO101" s="296"/>
      <c r="CP101" s="296"/>
      <c r="CQ101" s="296"/>
      <c r="CR101" s="296"/>
      <c r="CS101" s="296"/>
      <c r="CT101" s="296"/>
      <c r="CU101" s="296"/>
      <c r="CV101" s="296"/>
      <c r="CW101" s="296"/>
      <c r="CX101" s="296"/>
      <c r="CY101" s="296"/>
      <c r="CZ101" s="296"/>
      <c r="DA101" s="296"/>
      <c r="DB101" s="296"/>
      <c r="DC101" s="296"/>
      <c r="DD101" s="296"/>
      <c r="DE101" s="296"/>
      <c r="DF101" s="296"/>
      <c r="DG101" s="296"/>
      <c r="DH101" s="296"/>
      <c r="DI101" s="296"/>
      <c r="DJ101" s="296"/>
      <c r="DK101" s="296"/>
      <c r="DL101" s="296"/>
      <c r="DM101" s="296"/>
      <c r="DN101" s="296"/>
      <c r="DO101" s="296"/>
      <c r="DP101" s="296"/>
      <c r="DQ101" s="296"/>
      <c r="DR101" s="296"/>
      <c r="DS101" s="296"/>
      <c r="DT101" s="296"/>
      <c r="DU101" s="296"/>
      <c r="DV101" s="296"/>
      <c r="DW101" s="296"/>
      <c r="DX101" s="296"/>
      <c r="DY101" s="296"/>
      <c r="DZ101" s="296"/>
      <c r="EA101" s="296"/>
      <c r="EB101" s="296"/>
      <c r="EC101" s="296"/>
      <c r="ED101" s="296"/>
      <c r="EE101" s="296"/>
      <c r="EF101" s="296"/>
      <c r="EG101" s="296"/>
      <c r="EH101" s="296"/>
      <c r="EI101" s="296"/>
      <c r="EJ101" s="296"/>
      <c r="EK101" s="296"/>
      <c r="EL101" s="296"/>
      <c r="EM101" s="296"/>
      <c r="EN101" s="296"/>
      <c r="EO101" s="296"/>
      <c r="EP101" s="296"/>
      <c r="EQ101" s="296"/>
      <c r="ER101" s="296"/>
      <c r="ES101" s="296"/>
      <c r="ET101" s="296"/>
      <c r="EU101" s="296"/>
      <c r="EV101" s="296"/>
      <c r="EW101" s="296"/>
      <c r="EX101" s="296"/>
      <c r="EY101" s="296"/>
      <c r="EZ101" s="296"/>
      <c r="FA101" s="296"/>
      <c r="FB101" s="296"/>
      <c r="FC101" s="296"/>
      <c r="FD101" s="296"/>
      <c r="FE101" s="296"/>
      <c r="FF101" s="296"/>
      <c r="FG101" s="296"/>
      <c r="FH101" s="296"/>
      <c r="FI101" s="296"/>
      <c r="FJ101" s="296"/>
      <c r="FK101" s="296"/>
      <c r="FL101" s="296"/>
      <c r="FM101" s="296"/>
      <c r="FN101" s="296"/>
      <c r="FO101" s="296"/>
      <c r="FP101" s="296"/>
      <c r="FQ101" s="296"/>
      <c r="FR101" s="296"/>
      <c r="FS101" s="296"/>
      <c r="FT101" s="296"/>
      <c r="FU101" s="296"/>
      <c r="FV101" s="296"/>
      <c r="FW101" s="296"/>
      <c r="FX101" s="296"/>
      <c r="FY101" s="296"/>
      <c r="FZ101" s="296"/>
      <c r="GA101" s="296"/>
      <c r="GB101" s="296"/>
      <c r="GC101" s="296"/>
      <c r="GD101" s="296"/>
      <c r="GE101" s="296"/>
      <c r="GF101" s="296"/>
      <c r="GG101" s="296"/>
      <c r="GH101" s="296"/>
      <c r="GI101" s="296"/>
      <c r="GJ101" s="296"/>
      <c r="GK101" s="296"/>
      <c r="GL101" s="296"/>
      <c r="GM101" s="296"/>
      <c r="GN101" s="296"/>
      <c r="GO101" s="296"/>
      <c r="GP101" s="296"/>
      <c r="GQ101" s="296"/>
      <c r="GR101" s="296"/>
      <c r="GS101" s="296"/>
      <c r="GT101" s="296"/>
      <c r="GU101" s="296"/>
      <c r="GV101" s="296"/>
      <c r="GW101" s="296"/>
      <c r="GX101" s="296"/>
      <c r="GY101" s="296"/>
      <c r="GZ101" s="296"/>
      <c r="HA101" s="296"/>
      <c r="HB101" s="296"/>
      <c r="HC101" s="296"/>
      <c r="HD101" s="296"/>
      <c r="HE101" s="296"/>
      <c r="HF101" s="296"/>
      <c r="HG101" s="296"/>
      <c r="HH101" s="296"/>
      <c r="HI101" s="296"/>
      <c r="HJ101" s="296"/>
      <c r="HK101" s="296"/>
      <c r="HL101" s="296"/>
      <c r="HM101" s="296"/>
      <c r="HN101" s="296"/>
      <c r="HO101" s="296"/>
      <c r="HP101" s="296"/>
      <c r="HQ101" s="296"/>
      <c r="HR101" s="296"/>
      <c r="HS101" s="296"/>
      <c r="HT101" s="296"/>
      <c r="HU101" s="296"/>
      <c r="HV101" s="296"/>
      <c r="HW101" s="296"/>
      <c r="HX101" s="296"/>
      <c r="HY101" s="296"/>
      <c r="HZ101" s="296"/>
      <c r="IA101" s="296"/>
      <c r="IB101" s="296"/>
      <c r="IC101" s="296"/>
      <c r="ID101" s="296"/>
      <c r="IE101" s="296"/>
      <c r="IF101" s="296"/>
      <c r="IG101" s="296"/>
      <c r="IH101" s="296"/>
      <c r="II101" s="296"/>
      <c r="IJ101" s="296"/>
      <c r="IK101" s="296"/>
      <c r="IL101" s="296"/>
      <c r="IM101" s="296"/>
      <c r="IN101" s="296"/>
      <c r="IO101" s="296"/>
      <c r="IP101" s="296"/>
      <c r="IQ101" s="296"/>
      <c r="IR101" s="296"/>
      <c r="IS101" s="296"/>
      <c r="IT101" s="296"/>
      <c r="IU101" s="296"/>
      <c r="IV101" s="296"/>
    </row>
    <row r="102" spans="1:256" customFormat="1" ht="12.75" customHeight="1">
      <c r="A102" s="296"/>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96"/>
      <c r="CA102" s="296"/>
      <c r="CB102" s="296"/>
      <c r="CC102" s="296"/>
      <c r="CD102" s="296"/>
      <c r="CE102" s="296"/>
      <c r="CF102" s="296"/>
      <c r="CG102" s="296"/>
      <c r="CH102" s="296"/>
      <c r="CI102" s="296"/>
      <c r="CJ102" s="296"/>
      <c r="CK102" s="296"/>
      <c r="CL102" s="296"/>
      <c r="CM102" s="296"/>
      <c r="CN102" s="296"/>
      <c r="CO102" s="296"/>
      <c r="CP102" s="296"/>
      <c r="CQ102" s="296"/>
      <c r="CR102" s="296"/>
      <c r="CS102" s="296"/>
      <c r="CT102" s="296"/>
      <c r="CU102" s="296"/>
      <c r="CV102" s="296"/>
      <c r="CW102" s="296"/>
      <c r="CX102" s="296"/>
      <c r="CY102" s="296"/>
      <c r="CZ102" s="296"/>
      <c r="DA102" s="296"/>
      <c r="DB102" s="296"/>
      <c r="DC102" s="296"/>
      <c r="DD102" s="296"/>
      <c r="DE102" s="296"/>
      <c r="DF102" s="296"/>
      <c r="DG102" s="296"/>
      <c r="DH102" s="296"/>
      <c r="DI102" s="296"/>
      <c r="DJ102" s="296"/>
      <c r="DK102" s="296"/>
      <c r="DL102" s="296"/>
      <c r="DM102" s="296"/>
      <c r="DN102" s="296"/>
      <c r="DO102" s="296"/>
      <c r="DP102" s="296"/>
      <c r="DQ102" s="296"/>
      <c r="DR102" s="296"/>
      <c r="DS102" s="296"/>
      <c r="DT102" s="296"/>
      <c r="DU102" s="296"/>
      <c r="DV102" s="296"/>
      <c r="DW102" s="296"/>
      <c r="DX102" s="296"/>
      <c r="DY102" s="296"/>
      <c r="DZ102" s="296"/>
      <c r="EA102" s="296"/>
      <c r="EB102" s="296"/>
      <c r="EC102" s="296"/>
      <c r="ED102" s="296"/>
      <c r="EE102" s="296"/>
      <c r="EF102" s="296"/>
      <c r="EG102" s="296"/>
      <c r="EH102" s="296"/>
      <c r="EI102" s="296"/>
      <c r="EJ102" s="296"/>
      <c r="EK102" s="296"/>
      <c r="EL102" s="296"/>
      <c r="EM102" s="296"/>
      <c r="EN102" s="296"/>
      <c r="EO102" s="296"/>
      <c r="EP102" s="296"/>
      <c r="EQ102" s="296"/>
      <c r="ER102" s="296"/>
      <c r="ES102" s="296"/>
      <c r="ET102" s="296"/>
      <c r="EU102" s="296"/>
      <c r="EV102" s="296"/>
      <c r="EW102" s="296"/>
      <c r="EX102" s="296"/>
      <c r="EY102" s="296"/>
      <c r="EZ102" s="296"/>
      <c r="FA102" s="296"/>
      <c r="FB102" s="296"/>
      <c r="FC102" s="296"/>
      <c r="FD102" s="296"/>
      <c r="FE102" s="296"/>
      <c r="FF102" s="296"/>
      <c r="FG102" s="296"/>
      <c r="FH102" s="296"/>
      <c r="FI102" s="296"/>
      <c r="FJ102" s="296"/>
      <c r="FK102" s="296"/>
      <c r="FL102" s="296"/>
      <c r="FM102" s="296"/>
      <c r="FN102" s="296"/>
      <c r="FO102" s="296"/>
      <c r="FP102" s="296"/>
      <c r="FQ102" s="296"/>
      <c r="FR102" s="296"/>
      <c r="FS102" s="296"/>
      <c r="FT102" s="296"/>
      <c r="FU102" s="296"/>
      <c r="FV102" s="296"/>
      <c r="FW102" s="296"/>
      <c r="FX102" s="296"/>
      <c r="FY102" s="296"/>
      <c r="FZ102" s="296"/>
      <c r="GA102" s="296"/>
      <c r="GB102" s="296"/>
      <c r="GC102" s="296"/>
      <c r="GD102" s="296"/>
      <c r="GE102" s="296"/>
      <c r="GF102" s="296"/>
      <c r="GG102" s="296"/>
      <c r="GH102" s="296"/>
      <c r="GI102" s="296"/>
      <c r="GJ102" s="296"/>
      <c r="GK102" s="296"/>
      <c r="GL102" s="296"/>
      <c r="GM102" s="296"/>
      <c r="GN102" s="296"/>
      <c r="GO102" s="296"/>
      <c r="GP102" s="296"/>
      <c r="GQ102" s="296"/>
      <c r="GR102" s="296"/>
      <c r="GS102" s="296"/>
      <c r="GT102" s="296"/>
      <c r="GU102" s="296"/>
      <c r="GV102" s="296"/>
      <c r="GW102" s="296"/>
      <c r="GX102" s="296"/>
      <c r="GY102" s="296"/>
      <c r="GZ102" s="296"/>
      <c r="HA102" s="296"/>
      <c r="HB102" s="296"/>
      <c r="HC102" s="296"/>
      <c r="HD102" s="296"/>
      <c r="HE102" s="296"/>
      <c r="HF102" s="296"/>
      <c r="HG102" s="296"/>
      <c r="HH102" s="296"/>
      <c r="HI102" s="296"/>
      <c r="HJ102" s="296"/>
      <c r="HK102" s="296"/>
      <c r="HL102" s="296"/>
      <c r="HM102" s="296"/>
      <c r="HN102" s="296"/>
      <c r="HO102" s="296"/>
      <c r="HP102" s="296"/>
      <c r="HQ102" s="296"/>
      <c r="HR102" s="296"/>
      <c r="HS102" s="296"/>
      <c r="HT102" s="296"/>
      <c r="HU102" s="296"/>
      <c r="HV102" s="296"/>
      <c r="HW102" s="296"/>
      <c r="HX102" s="296"/>
      <c r="HY102" s="296"/>
      <c r="HZ102" s="296"/>
      <c r="IA102" s="296"/>
      <c r="IB102" s="296"/>
      <c r="IC102" s="296"/>
      <c r="ID102" s="296"/>
      <c r="IE102" s="296"/>
      <c r="IF102" s="296"/>
      <c r="IG102" s="296"/>
      <c r="IH102" s="296"/>
      <c r="II102" s="296"/>
      <c r="IJ102" s="296"/>
      <c r="IK102" s="296"/>
      <c r="IL102" s="296"/>
      <c r="IM102" s="296"/>
      <c r="IN102" s="296"/>
      <c r="IO102" s="296"/>
      <c r="IP102" s="296"/>
      <c r="IQ102" s="296"/>
      <c r="IR102" s="296"/>
      <c r="IS102" s="296"/>
      <c r="IT102" s="296"/>
      <c r="IU102" s="296"/>
      <c r="IV102" s="296"/>
    </row>
    <row r="103" spans="1:256" customFormat="1" ht="12.75" customHeight="1">
      <c r="A103" s="296"/>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c r="CA103" s="296"/>
      <c r="CB103" s="296"/>
      <c r="CC103" s="296"/>
      <c r="CD103" s="296"/>
      <c r="CE103" s="296"/>
      <c r="CF103" s="296"/>
      <c r="CG103" s="296"/>
      <c r="CH103" s="296"/>
      <c r="CI103" s="296"/>
      <c r="CJ103" s="296"/>
      <c r="CK103" s="296"/>
      <c r="CL103" s="296"/>
      <c r="CM103" s="296"/>
      <c r="CN103" s="296"/>
      <c r="CO103" s="296"/>
      <c r="CP103" s="296"/>
      <c r="CQ103" s="296"/>
      <c r="CR103" s="296"/>
      <c r="CS103" s="296"/>
      <c r="CT103" s="296"/>
      <c r="CU103" s="296"/>
      <c r="CV103" s="296"/>
      <c r="CW103" s="296"/>
      <c r="CX103" s="296"/>
      <c r="CY103" s="296"/>
      <c r="CZ103" s="296"/>
      <c r="DA103" s="296"/>
      <c r="DB103" s="296"/>
      <c r="DC103" s="296"/>
      <c r="DD103" s="296"/>
      <c r="DE103" s="296"/>
      <c r="DF103" s="296"/>
      <c r="DG103" s="296"/>
      <c r="DH103" s="296"/>
      <c r="DI103" s="296"/>
      <c r="DJ103" s="296"/>
      <c r="DK103" s="296"/>
      <c r="DL103" s="296"/>
      <c r="DM103" s="296"/>
      <c r="DN103" s="296"/>
      <c r="DO103" s="296"/>
      <c r="DP103" s="296"/>
      <c r="DQ103" s="296"/>
      <c r="DR103" s="296"/>
      <c r="DS103" s="296"/>
      <c r="DT103" s="296"/>
      <c r="DU103" s="296"/>
      <c r="DV103" s="296"/>
      <c r="DW103" s="296"/>
      <c r="DX103" s="296"/>
      <c r="DY103" s="296"/>
      <c r="DZ103" s="296"/>
      <c r="EA103" s="296"/>
      <c r="EB103" s="296"/>
      <c r="EC103" s="296"/>
      <c r="ED103" s="296"/>
      <c r="EE103" s="296"/>
      <c r="EF103" s="296"/>
      <c r="EG103" s="296"/>
      <c r="EH103" s="296"/>
      <c r="EI103" s="296"/>
      <c r="EJ103" s="296"/>
      <c r="EK103" s="296"/>
      <c r="EL103" s="296"/>
      <c r="EM103" s="296"/>
      <c r="EN103" s="296"/>
      <c r="EO103" s="296"/>
      <c r="EP103" s="296"/>
      <c r="EQ103" s="296"/>
      <c r="ER103" s="296"/>
      <c r="ES103" s="296"/>
      <c r="ET103" s="296"/>
      <c r="EU103" s="296"/>
      <c r="EV103" s="296"/>
      <c r="EW103" s="296"/>
      <c r="EX103" s="296"/>
      <c r="EY103" s="296"/>
      <c r="EZ103" s="296"/>
      <c r="FA103" s="296"/>
      <c r="FB103" s="296"/>
      <c r="FC103" s="296"/>
      <c r="FD103" s="296"/>
      <c r="FE103" s="296"/>
      <c r="FF103" s="296"/>
      <c r="FG103" s="296"/>
      <c r="FH103" s="296"/>
      <c r="FI103" s="296"/>
      <c r="FJ103" s="296"/>
      <c r="FK103" s="296"/>
      <c r="FL103" s="296"/>
      <c r="FM103" s="296"/>
      <c r="FN103" s="296"/>
      <c r="FO103" s="296"/>
      <c r="FP103" s="296"/>
      <c r="FQ103" s="296"/>
      <c r="FR103" s="296"/>
      <c r="FS103" s="296"/>
      <c r="FT103" s="296"/>
      <c r="FU103" s="296"/>
      <c r="FV103" s="296"/>
      <c r="FW103" s="296"/>
      <c r="FX103" s="296"/>
      <c r="FY103" s="296"/>
      <c r="FZ103" s="296"/>
      <c r="GA103" s="296"/>
      <c r="GB103" s="296"/>
      <c r="GC103" s="296"/>
      <c r="GD103" s="296"/>
      <c r="GE103" s="296"/>
      <c r="GF103" s="296"/>
      <c r="GG103" s="296"/>
      <c r="GH103" s="296"/>
      <c r="GI103" s="296"/>
      <c r="GJ103" s="296"/>
      <c r="GK103" s="296"/>
      <c r="GL103" s="296"/>
      <c r="GM103" s="296"/>
      <c r="GN103" s="296"/>
      <c r="GO103" s="296"/>
      <c r="GP103" s="296"/>
      <c r="GQ103" s="296"/>
      <c r="GR103" s="296"/>
      <c r="GS103" s="296"/>
      <c r="GT103" s="296"/>
      <c r="GU103" s="296"/>
      <c r="GV103" s="296"/>
      <c r="GW103" s="296"/>
      <c r="GX103" s="296"/>
      <c r="GY103" s="296"/>
      <c r="GZ103" s="296"/>
      <c r="HA103" s="296"/>
      <c r="HB103" s="296"/>
      <c r="HC103" s="296"/>
      <c r="HD103" s="296"/>
      <c r="HE103" s="296"/>
      <c r="HF103" s="296"/>
      <c r="HG103" s="296"/>
      <c r="HH103" s="296"/>
      <c r="HI103" s="296"/>
      <c r="HJ103" s="296"/>
      <c r="HK103" s="296"/>
      <c r="HL103" s="296"/>
      <c r="HM103" s="296"/>
      <c r="HN103" s="296"/>
      <c r="HO103" s="296"/>
      <c r="HP103" s="296"/>
      <c r="HQ103" s="296"/>
      <c r="HR103" s="296"/>
      <c r="HS103" s="296"/>
      <c r="HT103" s="296"/>
      <c r="HU103" s="296"/>
      <c r="HV103" s="296"/>
      <c r="HW103" s="296"/>
      <c r="HX103" s="296"/>
      <c r="HY103" s="296"/>
      <c r="HZ103" s="296"/>
      <c r="IA103" s="296"/>
      <c r="IB103" s="296"/>
      <c r="IC103" s="296"/>
      <c r="ID103" s="296"/>
      <c r="IE103" s="296"/>
      <c r="IF103" s="296"/>
      <c r="IG103" s="296"/>
      <c r="IH103" s="296"/>
      <c r="II103" s="296"/>
      <c r="IJ103" s="296"/>
      <c r="IK103" s="296"/>
      <c r="IL103" s="296"/>
      <c r="IM103" s="296"/>
      <c r="IN103" s="296"/>
      <c r="IO103" s="296"/>
      <c r="IP103" s="296"/>
      <c r="IQ103" s="296"/>
      <c r="IR103" s="296"/>
      <c r="IS103" s="296"/>
      <c r="IT103" s="296"/>
      <c r="IU103" s="296"/>
      <c r="IV103" s="296"/>
    </row>
    <row r="104" spans="1:256" customFormat="1" ht="12.75" customHeight="1">
      <c r="A104" s="296"/>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96"/>
      <c r="EG104" s="296"/>
      <c r="EH104" s="296"/>
      <c r="EI104" s="296"/>
      <c r="EJ104" s="296"/>
      <c r="EK104" s="296"/>
      <c r="EL104" s="296"/>
      <c r="EM104" s="296"/>
      <c r="EN104" s="296"/>
      <c r="EO104" s="296"/>
      <c r="EP104" s="296"/>
      <c r="EQ104" s="296"/>
      <c r="ER104" s="296"/>
      <c r="ES104" s="296"/>
      <c r="ET104" s="296"/>
      <c r="EU104" s="296"/>
      <c r="EV104" s="296"/>
      <c r="EW104" s="296"/>
      <c r="EX104" s="296"/>
      <c r="EY104" s="296"/>
      <c r="EZ104" s="296"/>
      <c r="FA104" s="296"/>
      <c r="FB104" s="296"/>
      <c r="FC104" s="296"/>
      <c r="FD104" s="296"/>
      <c r="FE104" s="296"/>
      <c r="FF104" s="296"/>
      <c r="FG104" s="296"/>
      <c r="FH104" s="296"/>
      <c r="FI104" s="296"/>
      <c r="FJ104" s="296"/>
      <c r="FK104" s="296"/>
      <c r="FL104" s="296"/>
      <c r="FM104" s="296"/>
      <c r="FN104" s="296"/>
      <c r="FO104" s="296"/>
      <c r="FP104" s="296"/>
      <c r="FQ104" s="296"/>
      <c r="FR104" s="296"/>
      <c r="FS104" s="296"/>
      <c r="FT104" s="296"/>
      <c r="FU104" s="296"/>
      <c r="FV104" s="296"/>
      <c r="FW104" s="296"/>
      <c r="FX104" s="296"/>
      <c r="FY104" s="296"/>
      <c r="FZ104" s="296"/>
      <c r="GA104" s="296"/>
      <c r="GB104" s="296"/>
      <c r="GC104" s="296"/>
      <c r="GD104" s="296"/>
      <c r="GE104" s="296"/>
      <c r="GF104" s="296"/>
      <c r="GG104" s="296"/>
      <c r="GH104" s="296"/>
      <c r="GI104" s="296"/>
      <c r="GJ104" s="296"/>
      <c r="GK104" s="296"/>
      <c r="GL104" s="296"/>
      <c r="GM104" s="296"/>
      <c r="GN104" s="296"/>
      <c r="GO104" s="296"/>
      <c r="GP104" s="296"/>
      <c r="GQ104" s="296"/>
      <c r="GR104" s="296"/>
      <c r="GS104" s="296"/>
      <c r="GT104" s="296"/>
      <c r="GU104" s="296"/>
      <c r="GV104" s="296"/>
      <c r="GW104" s="296"/>
      <c r="GX104" s="296"/>
      <c r="GY104" s="296"/>
      <c r="GZ104" s="296"/>
      <c r="HA104" s="296"/>
      <c r="HB104" s="296"/>
      <c r="HC104" s="296"/>
      <c r="HD104" s="296"/>
      <c r="HE104" s="296"/>
      <c r="HF104" s="296"/>
      <c r="HG104" s="296"/>
      <c r="HH104" s="296"/>
      <c r="HI104" s="296"/>
      <c r="HJ104" s="296"/>
      <c r="HK104" s="296"/>
      <c r="HL104" s="296"/>
      <c r="HM104" s="296"/>
      <c r="HN104" s="296"/>
      <c r="HO104" s="296"/>
      <c r="HP104" s="296"/>
      <c r="HQ104" s="296"/>
      <c r="HR104" s="296"/>
      <c r="HS104" s="296"/>
      <c r="HT104" s="296"/>
      <c r="HU104" s="296"/>
      <c r="HV104" s="296"/>
      <c r="HW104" s="296"/>
      <c r="HX104" s="296"/>
      <c r="HY104" s="296"/>
      <c r="HZ104" s="296"/>
      <c r="IA104" s="296"/>
      <c r="IB104" s="296"/>
      <c r="IC104" s="296"/>
      <c r="ID104" s="296"/>
      <c r="IE104" s="296"/>
      <c r="IF104" s="296"/>
      <c r="IG104" s="296"/>
      <c r="IH104" s="296"/>
      <c r="II104" s="296"/>
      <c r="IJ104" s="296"/>
      <c r="IK104" s="296"/>
      <c r="IL104" s="296"/>
      <c r="IM104" s="296"/>
      <c r="IN104" s="296"/>
      <c r="IO104" s="296"/>
      <c r="IP104" s="296"/>
      <c r="IQ104" s="296"/>
      <c r="IR104" s="296"/>
      <c r="IS104" s="296"/>
      <c r="IT104" s="296"/>
      <c r="IU104" s="296"/>
      <c r="IV104" s="296"/>
    </row>
    <row r="105" spans="1:256" customFormat="1" ht="12.75" customHeight="1">
      <c r="A105" s="296"/>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c r="CA105" s="296"/>
      <c r="CB105" s="296"/>
      <c r="CC105" s="296"/>
      <c r="CD105" s="296"/>
      <c r="CE105" s="296"/>
      <c r="CF105" s="296"/>
      <c r="CG105" s="296"/>
      <c r="CH105" s="296"/>
      <c r="CI105" s="296"/>
      <c r="CJ105" s="296"/>
      <c r="CK105" s="296"/>
      <c r="CL105" s="296"/>
      <c r="CM105" s="296"/>
      <c r="CN105" s="296"/>
      <c r="CO105" s="296"/>
      <c r="CP105" s="296"/>
      <c r="CQ105" s="296"/>
      <c r="CR105" s="296"/>
      <c r="CS105" s="296"/>
      <c r="CT105" s="296"/>
      <c r="CU105" s="296"/>
      <c r="CV105" s="296"/>
      <c r="CW105" s="296"/>
      <c r="CX105" s="296"/>
      <c r="CY105" s="296"/>
      <c r="CZ105" s="296"/>
      <c r="DA105" s="296"/>
      <c r="DB105" s="296"/>
      <c r="DC105" s="296"/>
      <c r="DD105" s="296"/>
      <c r="DE105" s="296"/>
      <c r="DF105" s="296"/>
      <c r="DG105" s="296"/>
      <c r="DH105" s="296"/>
      <c r="DI105" s="296"/>
      <c r="DJ105" s="296"/>
      <c r="DK105" s="296"/>
      <c r="DL105" s="296"/>
      <c r="DM105" s="296"/>
      <c r="DN105" s="296"/>
      <c r="DO105" s="296"/>
      <c r="DP105" s="296"/>
      <c r="DQ105" s="296"/>
      <c r="DR105" s="296"/>
      <c r="DS105" s="296"/>
      <c r="DT105" s="296"/>
      <c r="DU105" s="296"/>
      <c r="DV105" s="296"/>
      <c r="DW105" s="296"/>
      <c r="DX105" s="296"/>
      <c r="DY105" s="296"/>
      <c r="DZ105" s="296"/>
      <c r="EA105" s="296"/>
      <c r="EB105" s="296"/>
      <c r="EC105" s="296"/>
      <c r="ED105" s="296"/>
      <c r="EE105" s="296"/>
      <c r="EF105" s="296"/>
      <c r="EG105" s="296"/>
      <c r="EH105" s="296"/>
      <c r="EI105" s="296"/>
      <c r="EJ105" s="296"/>
      <c r="EK105" s="296"/>
      <c r="EL105" s="296"/>
      <c r="EM105" s="296"/>
      <c r="EN105" s="296"/>
      <c r="EO105" s="296"/>
      <c r="EP105" s="296"/>
      <c r="EQ105" s="296"/>
      <c r="ER105" s="296"/>
      <c r="ES105" s="296"/>
      <c r="ET105" s="296"/>
      <c r="EU105" s="296"/>
      <c r="EV105" s="296"/>
      <c r="EW105" s="296"/>
      <c r="EX105" s="296"/>
      <c r="EY105" s="296"/>
      <c r="EZ105" s="296"/>
      <c r="FA105" s="296"/>
      <c r="FB105" s="296"/>
      <c r="FC105" s="296"/>
      <c r="FD105" s="296"/>
      <c r="FE105" s="296"/>
      <c r="FF105" s="296"/>
      <c r="FG105" s="296"/>
      <c r="FH105" s="296"/>
      <c r="FI105" s="296"/>
      <c r="FJ105" s="296"/>
      <c r="FK105" s="296"/>
      <c r="FL105" s="296"/>
      <c r="FM105" s="296"/>
      <c r="FN105" s="296"/>
      <c r="FO105" s="296"/>
      <c r="FP105" s="296"/>
      <c r="FQ105" s="296"/>
      <c r="FR105" s="296"/>
      <c r="FS105" s="296"/>
      <c r="FT105" s="296"/>
      <c r="FU105" s="296"/>
      <c r="FV105" s="296"/>
      <c r="FW105" s="296"/>
      <c r="FX105" s="296"/>
      <c r="FY105" s="296"/>
      <c r="FZ105" s="296"/>
      <c r="GA105" s="296"/>
      <c r="GB105" s="296"/>
      <c r="GC105" s="296"/>
      <c r="GD105" s="296"/>
      <c r="GE105" s="296"/>
      <c r="GF105" s="296"/>
      <c r="GG105" s="296"/>
      <c r="GH105" s="296"/>
      <c r="GI105" s="296"/>
      <c r="GJ105" s="296"/>
      <c r="GK105" s="296"/>
      <c r="GL105" s="296"/>
      <c r="GM105" s="296"/>
      <c r="GN105" s="296"/>
      <c r="GO105" s="296"/>
      <c r="GP105" s="296"/>
      <c r="GQ105" s="296"/>
      <c r="GR105" s="296"/>
      <c r="GS105" s="296"/>
      <c r="GT105" s="296"/>
      <c r="GU105" s="296"/>
      <c r="GV105" s="296"/>
      <c r="GW105" s="296"/>
      <c r="GX105" s="296"/>
      <c r="GY105" s="296"/>
      <c r="GZ105" s="296"/>
      <c r="HA105" s="296"/>
      <c r="HB105" s="296"/>
      <c r="HC105" s="296"/>
      <c r="HD105" s="296"/>
      <c r="HE105" s="296"/>
      <c r="HF105" s="296"/>
      <c r="HG105" s="296"/>
      <c r="HH105" s="296"/>
      <c r="HI105" s="296"/>
      <c r="HJ105" s="296"/>
      <c r="HK105" s="296"/>
      <c r="HL105" s="296"/>
      <c r="HM105" s="296"/>
      <c r="HN105" s="296"/>
      <c r="HO105" s="296"/>
      <c r="HP105" s="296"/>
      <c r="HQ105" s="296"/>
      <c r="HR105" s="296"/>
      <c r="HS105" s="296"/>
      <c r="HT105" s="296"/>
      <c r="HU105" s="296"/>
      <c r="HV105" s="296"/>
      <c r="HW105" s="296"/>
      <c r="HX105" s="296"/>
      <c r="HY105" s="296"/>
      <c r="HZ105" s="296"/>
      <c r="IA105" s="296"/>
      <c r="IB105" s="296"/>
      <c r="IC105" s="296"/>
      <c r="ID105" s="296"/>
      <c r="IE105" s="296"/>
      <c r="IF105" s="296"/>
      <c r="IG105" s="296"/>
      <c r="IH105" s="296"/>
      <c r="II105" s="296"/>
      <c r="IJ105" s="296"/>
      <c r="IK105" s="296"/>
      <c r="IL105" s="296"/>
      <c r="IM105" s="296"/>
      <c r="IN105" s="296"/>
      <c r="IO105" s="296"/>
      <c r="IP105" s="296"/>
      <c r="IQ105" s="296"/>
      <c r="IR105" s="296"/>
      <c r="IS105" s="296"/>
      <c r="IT105" s="296"/>
      <c r="IU105" s="296"/>
      <c r="IV105" s="296"/>
    </row>
    <row r="106" spans="1:256" customFormat="1" ht="12.75" customHeight="1">
      <c r="A106" s="296"/>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c r="CA106" s="296"/>
      <c r="CB106" s="296"/>
      <c r="CC106" s="296"/>
      <c r="CD106" s="296"/>
      <c r="CE106" s="296"/>
      <c r="CF106" s="296"/>
      <c r="CG106" s="296"/>
      <c r="CH106" s="296"/>
      <c r="CI106" s="296"/>
      <c r="CJ106" s="296"/>
      <c r="CK106" s="296"/>
      <c r="CL106" s="296"/>
      <c r="CM106" s="296"/>
      <c r="CN106" s="296"/>
      <c r="CO106" s="296"/>
      <c r="CP106" s="296"/>
      <c r="CQ106" s="296"/>
      <c r="CR106" s="296"/>
      <c r="CS106" s="296"/>
      <c r="CT106" s="296"/>
      <c r="CU106" s="296"/>
      <c r="CV106" s="296"/>
      <c r="CW106" s="296"/>
      <c r="CX106" s="296"/>
      <c r="CY106" s="296"/>
      <c r="CZ106" s="296"/>
      <c r="DA106" s="296"/>
      <c r="DB106" s="296"/>
      <c r="DC106" s="296"/>
      <c r="DD106" s="296"/>
      <c r="DE106" s="296"/>
      <c r="DF106" s="296"/>
      <c r="DG106" s="296"/>
      <c r="DH106" s="296"/>
      <c r="DI106" s="296"/>
      <c r="DJ106" s="296"/>
      <c r="DK106" s="296"/>
      <c r="DL106" s="296"/>
      <c r="DM106" s="296"/>
      <c r="DN106" s="296"/>
      <c r="DO106" s="296"/>
      <c r="DP106" s="296"/>
      <c r="DQ106" s="296"/>
      <c r="DR106" s="296"/>
      <c r="DS106" s="296"/>
      <c r="DT106" s="296"/>
      <c r="DU106" s="296"/>
      <c r="DV106" s="296"/>
      <c r="DW106" s="296"/>
      <c r="DX106" s="296"/>
      <c r="DY106" s="296"/>
      <c r="DZ106" s="296"/>
      <c r="EA106" s="296"/>
      <c r="EB106" s="296"/>
      <c r="EC106" s="296"/>
      <c r="ED106" s="296"/>
      <c r="EE106" s="296"/>
      <c r="EF106" s="296"/>
      <c r="EG106" s="296"/>
      <c r="EH106" s="296"/>
      <c r="EI106" s="296"/>
      <c r="EJ106" s="296"/>
      <c r="EK106" s="296"/>
      <c r="EL106" s="296"/>
      <c r="EM106" s="296"/>
      <c r="EN106" s="296"/>
      <c r="EO106" s="296"/>
      <c r="EP106" s="296"/>
      <c r="EQ106" s="296"/>
      <c r="ER106" s="296"/>
      <c r="ES106" s="296"/>
      <c r="ET106" s="296"/>
      <c r="EU106" s="296"/>
      <c r="EV106" s="296"/>
      <c r="EW106" s="296"/>
      <c r="EX106" s="296"/>
      <c r="EY106" s="296"/>
      <c r="EZ106" s="296"/>
      <c r="FA106" s="296"/>
      <c r="FB106" s="296"/>
      <c r="FC106" s="296"/>
      <c r="FD106" s="296"/>
      <c r="FE106" s="296"/>
      <c r="FF106" s="296"/>
      <c r="FG106" s="296"/>
      <c r="FH106" s="296"/>
      <c r="FI106" s="296"/>
      <c r="FJ106" s="296"/>
      <c r="FK106" s="296"/>
      <c r="FL106" s="296"/>
      <c r="FM106" s="296"/>
      <c r="FN106" s="296"/>
      <c r="FO106" s="296"/>
      <c r="FP106" s="296"/>
      <c r="FQ106" s="296"/>
      <c r="FR106" s="296"/>
      <c r="FS106" s="296"/>
      <c r="FT106" s="296"/>
      <c r="FU106" s="296"/>
      <c r="FV106" s="296"/>
      <c r="FW106" s="296"/>
      <c r="FX106" s="296"/>
      <c r="FY106" s="296"/>
      <c r="FZ106" s="296"/>
      <c r="GA106" s="296"/>
      <c r="GB106" s="296"/>
      <c r="GC106" s="296"/>
      <c r="GD106" s="296"/>
      <c r="GE106" s="296"/>
      <c r="GF106" s="296"/>
      <c r="GG106" s="296"/>
      <c r="GH106" s="296"/>
      <c r="GI106" s="296"/>
      <c r="GJ106" s="296"/>
      <c r="GK106" s="296"/>
      <c r="GL106" s="296"/>
      <c r="GM106" s="296"/>
      <c r="GN106" s="296"/>
      <c r="GO106" s="296"/>
      <c r="GP106" s="296"/>
      <c r="GQ106" s="296"/>
      <c r="GR106" s="296"/>
      <c r="GS106" s="296"/>
      <c r="GT106" s="296"/>
      <c r="GU106" s="296"/>
      <c r="GV106" s="296"/>
      <c r="GW106" s="296"/>
      <c r="GX106" s="296"/>
      <c r="GY106" s="296"/>
      <c r="GZ106" s="296"/>
      <c r="HA106" s="296"/>
      <c r="HB106" s="296"/>
      <c r="HC106" s="296"/>
      <c r="HD106" s="296"/>
      <c r="HE106" s="296"/>
      <c r="HF106" s="296"/>
      <c r="HG106" s="296"/>
      <c r="HH106" s="296"/>
      <c r="HI106" s="296"/>
      <c r="HJ106" s="296"/>
      <c r="HK106" s="296"/>
      <c r="HL106" s="296"/>
      <c r="HM106" s="296"/>
      <c r="HN106" s="296"/>
      <c r="HO106" s="296"/>
      <c r="HP106" s="296"/>
      <c r="HQ106" s="296"/>
      <c r="HR106" s="296"/>
      <c r="HS106" s="296"/>
      <c r="HT106" s="296"/>
      <c r="HU106" s="296"/>
      <c r="HV106" s="296"/>
      <c r="HW106" s="296"/>
      <c r="HX106" s="296"/>
      <c r="HY106" s="296"/>
      <c r="HZ106" s="296"/>
      <c r="IA106" s="296"/>
      <c r="IB106" s="296"/>
      <c r="IC106" s="296"/>
      <c r="ID106" s="296"/>
      <c r="IE106" s="296"/>
      <c r="IF106" s="296"/>
      <c r="IG106" s="296"/>
      <c r="IH106" s="296"/>
      <c r="II106" s="296"/>
      <c r="IJ106" s="296"/>
      <c r="IK106" s="296"/>
      <c r="IL106" s="296"/>
      <c r="IM106" s="296"/>
      <c r="IN106" s="296"/>
      <c r="IO106" s="296"/>
      <c r="IP106" s="296"/>
      <c r="IQ106" s="296"/>
      <c r="IR106" s="296"/>
      <c r="IS106" s="296"/>
      <c r="IT106" s="296"/>
      <c r="IU106" s="296"/>
      <c r="IV106" s="296"/>
    </row>
    <row r="107" spans="1:256" customFormat="1" ht="12.75" customHeight="1">
      <c r="A107" s="296"/>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6"/>
      <c r="CY107" s="296"/>
      <c r="CZ107" s="296"/>
      <c r="DA107" s="296"/>
      <c r="DB107" s="296"/>
      <c r="DC107" s="296"/>
      <c r="DD107" s="296"/>
      <c r="DE107" s="296"/>
      <c r="DF107" s="296"/>
      <c r="DG107" s="296"/>
      <c r="DH107" s="296"/>
      <c r="DI107" s="296"/>
      <c r="DJ107" s="296"/>
      <c r="DK107" s="296"/>
      <c r="DL107" s="296"/>
      <c r="DM107" s="296"/>
      <c r="DN107" s="296"/>
      <c r="DO107" s="296"/>
      <c r="DP107" s="296"/>
      <c r="DQ107" s="296"/>
      <c r="DR107" s="296"/>
      <c r="DS107" s="296"/>
      <c r="DT107" s="296"/>
      <c r="DU107" s="296"/>
      <c r="DV107" s="296"/>
      <c r="DW107" s="296"/>
      <c r="DX107" s="296"/>
      <c r="DY107" s="296"/>
      <c r="DZ107" s="296"/>
      <c r="EA107" s="296"/>
      <c r="EB107" s="296"/>
      <c r="EC107" s="296"/>
      <c r="ED107" s="296"/>
      <c r="EE107" s="296"/>
      <c r="EF107" s="296"/>
      <c r="EG107" s="296"/>
      <c r="EH107" s="296"/>
      <c r="EI107" s="296"/>
      <c r="EJ107" s="296"/>
      <c r="EK107" s="296"/>
      <c r="EL107" s="296"/>
      <c r="EM107" s="296"/>
      <c r="EN107" s="296"/>
      <c r="EO107" s="296"/>
      <c r="EP107" s="296"/>
      <c r="EQ107" s="296"/>
      <c r="ER107" s="296"/>
      <c r="ES107" s="296"/>
      <c r="ET107" s="296"/>
      <c r="EU107" s="296"/>
      <c r="EV107" s="296"/>
      <c r="EW107" s="296"/>
      <c r="EX107" s="296"/>
      <c r="EY107" s="296"/>
      <c r="EZ107" s="296"/>
      <c r="FA107" s="296"/>
      <c r="FB107" s="296"/>
      <c r="FC107" s="296"/>
      <c r="FD107" s="296"/>
      <c r="FE107" s="296"/>
      <c r="FF107" s="296"/>
      <c r="FG107" s="296"/>
      <c r="FH107" s="296"/>
      <c r="FI107" s="296"/>
      <c r="FJ107" s="296"/>
      <c r="FK107" s="296"/>
      <c r="FL107" s="296"/>
      <c r="FM107" s="296"/>
      <c r="FN107" s="296"/>
      <c r="FO107" s="296"/>
      <c r="FP107" s="296"/>
      <c r="FQ107" s="296"/>
      <c r="FR107" s="296"/>
      <c r="FS107" s="296"/>
      <c r="FT107" s="296"/>
      <c r="FU107" s="296"/>
      <c r="FV107" s="296"/>
      <c r="FW107" s="296"/>
      <c r="FX107" s="296"/>
      <c r="FY107" s="296"/>
      <c r="FZ107" s="296"/>
      <c r="GA107" s="296"/>
      <c r="GB107" s="296"/>
      <c r="GC107" s="296"/>
      <c r="GD107" s="296"/>
      <c r="GE107" s="296"/>
      <c r="GF107" s="296"/>
      <c r="GG107" s="296"/>
      <c r="GH107" s="296"/>
      <c r="GI107" s="296"/>
      <c r="GJ107" s="296"/>
      <c r="GK107" s="296"/>
      <c r="GL107" s="296"/>
      <c r="GM107" s="296"/>
      <c r="GN107" s="296"/>
      <c r="GO107" s="296"/>
      <c r="GP107" s="296"/>
      <c r="GQ107" s="296"/>
      <c r="GR107" s="296"/>
      <c r="GS107" s="296"/>
      <c r="GT107" s="296"/>
      <c r="GU107" s="296"/>
      <c r="GV107" s="296"/>
      <c r="GW107" s="296"/>
      <c r="GX107" s="296"/>
      <c r="GY107" s="296"/>
      <c r="GZ107" s="296"/>
      <c r="HA107" s="296"/>
      <c r="HB107" s="296"/>
      <c r="HC107" s="296"/>
      <c r="HD107" s="296"/>
      <c r="HE107" s="296"/>
      <c r="HF107" s="296"/>
      <c r="HG107" s="296"/>
      <c r="HH107" s="296"/>
      <c r="HI107" s="296"/>
      <c r="HJ107" s="296"/>
      <c r="HK107" s="296"/>
      <c r="HL107" s="296"/>
      <c r="HM107" s="296"/>
      <c r="HN107" s="296"/>
      <c r="HO107" s="296"/>
      <c r="HP107" s="296"/>
      <c r="HQ107" s="296"/>
      <c r="HR107" s="296"/>
      <c r="HS107" s="296"/>
      <c r="HT107" s="296"/>
      <c r="HU107" s="296"/>
      <c r="HV107" s="296"/>
      <c r="HW107" s="296"/>
      <c r="HX107" s="296"/>
      <c r="HY107" s="296"/>
      <c r="HZ107" s="296"/>
      <c r="IA107" s="296"/>
      <c r="IB107" s="296"/>
      <c r="IC107" s="296"/>
      <c r="ID107" s="296"/>
      <c r="IE107" s="296"/>
      <c r="IF107" s="296"/>
      <c r="IG107" s="296"/>
      <c r="IH107" s="296"/>
      <c r="II107" s="296"/>
      <c r="IJ107" s="296"/>
      <c r="IK107" s="296"/>
      <c r="IL107" s="296"/>
      <c r="IM107" s="296"/>
      <c r="IN107" s="296"/>
      <c r="IO107" s="296"/>
      <c r="IP107" s="296"/>
      <c r="IQ107" s="296"/>
      <c r="IR107" s="296"/>
      <c r="IS107" s="296"/>
      <c r="IT107" s="296"/>
      <c r="IU107" s="296"/>
      <c r="IV107" s="296"/>
    </row>
    <row r="108" spans="1:256" customFormat="1" ht="12.75" customHeight="1">
      <c r="A108" s="296"/>
      <c r="B108" s="296"/>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c r="CA108" s="296"/>
      <c r="CB108" s="296"/>
      <c r="CC108" s="296"/>
      <c r="CD108" s="296"/>
      <c r="CE108" s="296"/>
      <c r="CF108" s="296"/>
      <c r="CG108" s="296"/>
      <c r="CH108" s="296"/>
      <c r="CI108" s="296"/>
      <c r="CJ108" s="296"/>
      <c r="CK108" s="296"/>
      <c r="CL108" s="296"/>
      <c r="CM108" s="296"/>
      <c r="CN108" s="296"/>
      <c r="CO108" s="296"/>
      <c r="CP108" s="296"/>
      <c r="CQ108" s="296"/>
      <c r="CR108" s="296"/>
      <c r="CS108" s="296"/>
      <c r="CT108" s="296"/>
      <c r="CU108" s="296"/>
      <c r="CV108" s="296"/>
      <c r="CW108" s="296"/>
      <c r="CX108" s="296"/>
      <c r="CY108" s="296"/>
      <c r="CZ108" s="296"/>
      <c r="DA108" s="296"/>
      <c r="DB108" s="296"/>
      <c r="DC108" s="296"/>
      <c r="DD108" s="296"/>
      <c r="DE108" s="296"/>
      <c r="DF108" s="296"/>
      <c r="DG108" s="296"/>
      <c r="DH108" s="296"/>
      <c r="DI108" s="296"/>
      <c r="DJ108" s="296"/>
      <c r="DK108" s="296"/>
      <c r="DL108" s="296"/>
      <c r="DM108" s="296"/>
      <c r="DN108" s="296"/>
      <c r="DO108" s="296"/>
      <c r="DP108" s="296"/>
      <c r="DQ108" s="296"/>
      <c r="DR108" s="296"/>
      <c r="DS108" s="296"/>
      <c r="DT108" s="296"/>
      <c r="DU108" s="296"/>
      <c r="DV108" s="296"/>
      <c r="DW108" s="296"/>
      <c r="DX108" s="296"/>
      <c r="DY108" s="296"/>
      <c r="DZ108" s="296"/>
      <c r="EA108" s="296"/>
      <c r="EB108" s="296"/>
      <c r="EC108" s="296"/>
      <c r="ED108" s="296"/>
      <c r="EE108" s="296"/>
      <c r="EF108" s="296"/>
      <c r="EG108" s="296"/>
      <c r="EH108" s="296"/>
      <c r="EI108" s="296"/>
      <c r="EJ108" s="296"/>
      <c r="EK108" s="296"/>
      <c r="EL108" s="296"/>
      <c r="EM108" s="296"/>
      <c r="EN108" s="296"/>
      <c r="EO108" s="296"/>
      <c r="EP108" s="296"/>
      <c r="EQ108" s="296"/>
      <c r="ER108" s="296"/>
      <c r="ES108" s="296"/>
      <c r="ET108" s="296"/>
      <c r="EU108" s="296"/>
      <c r="EV108" s="296"/>
      <c r="EW108" s="296"/>
      <c r="EX108" s="296"/>
      <c r="EY108" s="296"/>
      <c r="EZ108" s="296"/>
      <c r="FA108" s="296"/>
      <c r="FB108" s="296"/>
      <c r="FC108" s="296"/>
      <c r="FD108" s="296"/>
      <c r="FE108" s="296"/>
      <c r="FF108" s="296"/>
      <c r="FG108" s="296"/>
      <c r="FH108" s="296"/>
      <c r="FI108" s="296"/>
      <c r="FJ108" s="296"/>
      <c r="FK108" s="296"/>
      <c r="FL108" s="296"/>
      <c r="FM108" s="296"/>
      <c r="FN108" s="296"/>
      <c r="FO108" s="296"/>
      <c r="FP108" s="296"/>
      <c r="FQ108" s="296"/>
      <c r="FR108" s="296"/>
      <c r="FS108" s="296"/>
      <c r="FT108" s="296"/>
      <c r="FU108" s="296"/>
      <c r="FV108" s="296"/>
      <c r="FW108" s="296"/>
      <c r="FX108" s="296"/>
      <c r="FY108" s="296"/>
      <c r="FZ108" s="296"/>
      <c r="GA108" s="296"/>
      <c r="GB108" s="296"/>
      <c r="GC108" s="296"/>
      <c r="GD108" s="296"/>
      <c r="GE108" s="296"/>
      <c r="GF108" s="296"/>
      <c r="GG108" s="296"/>
      <c r="GH108" s="296"/>
      <c r="GI108" s="296"/>
      <c r="GJ108" s="296"/>
      <c r="GK108" s="296"/>
      <c r="GL108" s="296"/>
      <c r="GM108" s="296"/>
      <c r="GN108" s="296"/>
      <c r="GO108" s="296"/>
      <c r="GP108" s="296"/>
      <c r="GQ108" s="296"/>
      <c r="GR108" s="296"/>
      <c r="GS108" s="296"/>
      <c r="GT108" s="296"/>
      <c r="GU108" s="296"/>
      <c r="GV108" s="296"/>
      <c r="GW108" s="296"/>
      <c r="GX108" s="296"/>
      <c r="GY108" s="296"/>
      <c r="GZ108" s="296"/>
      <c r="HA108" s="296"/>
      <c r="HB108" s="296"/>
      <c r="HC108" s="296"/>
      <c r="HD108" s="296"/>
      <c r="HE108" s="296"/>
      <c r="HF108" s="296"/>
      <c r="HG108" s="296"/>
      <c r="HH108" s="296"/>
      <c r="HI108" s="296"/>
      <c r="HJ108" s="296"/>
      <c r="HK108" s="296"/>
      <c r="HL108" s="296"/>
      <c r="HM108" s="296"/>
      <c r="HN108" s="296"/>
      <c r="HO108" s="296"/>
      <c r="HP108" s="296"/>
      <c r="HQ108" s="296"/>
      <c r="HR108" s="296"/>
      <c r="HS108" s="296"/>
      <c r="HT108" s="296"/>
      <c r="HU108" s="296"/>
      <c r="HV108" s="296"/>
      <c r="HW108" s="296"/>
      <c r="HX108" s="296"/>
      <c r="HY108" s="296"/>
      <c r="HZ108" s="296"/>
      <c r="IA108" s="296"/>
      <c r="IB108" s="296"/>
      <c r="IC108" s="296"/>
      <c r="ID108" s="296"/>
      <c r="IE108" s="296"/>
      <c r="IF108" s="296"/>
      <c r="IG108" s="296"/>
      <c r="IH108" s="296"/>
      <c r="II108" s="296"/>
      <c r="IJ108" s="296"/>
      <c r="IK108" s="296"/>
      <c r="IL108" s="296"/>
      <c r="IM108" s="296"/>
      <c r="IN108" s="296"/>
      <c r="IO108" s="296"/>
      <c r="IP108" s="296"/>
      <c r="IQ108" s="296"/>
      <c r="IR108" s="296"/>
      <c r="IS108" s="296"/>
      <c r="IT108" s="296"/>
      <c r="IU108" s="296"/>
      <c r="IV108" s="296"/>
    </row>
    <row r="109" spans="1:256" customFormat="1" ht="12.75" customHeight="1">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c r="CA109" s="296"/>
      <c r="CB109" s="296"/>
      <c r="CC109" s="296"/>
      <c r="CD109" s="296"/>
      <c r="CE109" s="296"/>
      <c r="CF109" s="296"/>
      <c r="CG109" s="296"/>
      <c r="CH109" s="296"/>
      <c r="CI109" s="296"/>
      <c r="CJ109" s="296"/>
      <c r="CK109" s="296"/>
      <c r="CL109" s="296"/>
      <c r="CM109" s="296"/>
      <c r="CN109" s="296"/>
      <c r="CO109" s="296"/>
      <c r="CP109" s="296"/>
      <c r="CQ109" s="296"/>
      <c r="CR109" s="296"/>
      <c r="CS109" s="296"/>
      <c r="CT109" s="296"/>
      <c r="CU109" s="296"/>
      <c r="CV109" s="296"/>
      <c r="CW109" s="296"/>
      <c r="CX109" s="296"/>
      <c r="CY109" s="296"/>
      <c r="CZ109" s="296"/>
      <c r="DA109" s="296"/>
      <c r="DB109" s="296"/>
      <c r="DC109" s="296"/>
      <c r="DD109" s="296"/>
      <c r="DE109" s="296"/>
      <c r="DF109" s="296"/>
      <c r="DG109" s="296"/>
      <c r="DH109" s="296"/>
      <c r="DI109" s="296"/>
      <c r="DJ109" s="296"/>
      <c r="DK109" s="296"/>
      <c r="DL109" s="296"/>
      <c r="DM109" s="296"/>
      <c r="DN109" s="296"/>
      <c r="DO109" s="296"/>
      <c r="DP109" s="296"/>
      <c r="DQ109" s="296"/>
      <c r="DR109" s="296"/>
      <c r="DS109" s="296"/>
      <c r="DT109" s="296"/>
      <c r="DU109" s="296"/>
      <c r="DV109" s="296"/>
      <c r="DW109" s="296"/>
      <c r="DX109" s="296"/>
      <c r="DY109" s="296"/>
      <c r="DZ109" s="296"/>
      <c r="EA109" s="296"/>
      <c r="EB109" s="296"/>
      <c r="EC109" s="296"/>
      <c r="ED109" s="296"/>
      <c r="EE109" s="296"/>
      <c r="EF109" s="296"/>
      <c r="EG109" s="296"/>
      <c r="EH109" s="296"/>
      <c r="EI109" s="296"/>
      <c r="EJ109" s="296"/>
      <c r="EK109" s="296"/>
      <c r="EL109" s="296"/>
      <c r="EM109" s="296"/>
      <c r="EN109" s="296"/>
      <c r="EO109" s="296"/>
      <c r="EP109" s="296"/>
      <c r="EQ109" s="296"/>
      <c r="ER109" s="296"/>
      <c r="ES109" s="296"/>
      <c r="ET109" s="296"/>
      <c r="EU109" s="296"/>
      <c r="EV109" s="296"/>
      <c r="EW109" s="296"/>
      <c r="EX109" s="296"/>
      <c r="EY109" s="296"/>
      <c r="EZ109" s="296"/>
      <c r="FA109" s="296"/>
      <c r="FB109" s="296"/>
      <c r="FC109" s="296"/>
      <c r="FD109" s="296"/>
      <c r="FE109" s="296"/>
      <c r="FF109" s="296"/>
      <c r="FG109" s="296"/>
      <c r="FH109" s="296"/>
      <c r="FI109" s="296"/>
      <c r="FJ109" s="296"/>
      <c r="FK109" s="296"/>
      <c r="FL109" s="296"/>
      <c r="FM109" s="296"/>
      <c r="FN109" s="296"/>
      <c r="FO109" s="296"/>
      <c r="FP109" s="296"/>
      <c r="FQ109" s="296"/>
      <c r="FR109" s="296"/>
      <c r="FS109" s="296"/>
      <c r="FT109" s="296"/>
      <c r="FU109" s="296"/>
      <c r="FV109" s="296"/>
      <c r="FW109" s="296"/>
      <c r="FX109" s="296"/>
      <c r="FY109" s="296"/>
      <c r="FZ109" s="296"/>
      <c r="GA109" s="296"/>
      <c r="GB109" s="296"/>
      <c r="GC109" s="296"/>
      <c r="GD109" s="296"/>
      <c r="GE109" s="296"/>
      <c r="GF109" s="296"/>
      <c r="GG109" s="296"/>
      <c r="GH109" s="296"/>
      <c r="GI109" s="296"/>
      <c r="GJ109" s="296"/>
      <c r="GK109" s="296"/>
      <c r="GL109" s="296"/>
      <c r="GM109" s="296"/>
      <c r="GN109" s="296"/>
      <c r="GO109" s="296"/>
      <c r="GP109" s="296"/>
      <c r="GQ109" s="296"/>
      <c r="GR109" s="296"/>
      <c r="GS109" s="296"/>
      <c r="GT109" s="296"/>
      <c r="GU109" s="296"/>
      <c r="GV109" s="296"/>
      <c r="GW109" s="296"/>
      <c r="GX109" s="296"/>
      <c r="GY109" s="296"/>
      <c r="GZ109" s="296"/>
      <c r="HA109" s="296"/>
      <c r="HB109" s="296"/>
      <c r="HC109" s="296"/>
      <c r="HD109" s="296"/>
      <c r="HE109" s="296"/>
      <c r="HF109" s="296"/>
      <c r="HG109" s="296"/>
      <c r="HH109" s="296"/>
      <c r="HI109" s="296"/>
      <c r="HJ109" s="296"/>
      <c r="HK109" s="296"/>
      <c r="HL109" s="296"/>
      <c r="HM109" s="296"/>
      <c r="HN109" s="296"/>
      <c r="HO109" s="296"/>
      <c r="HP109" s="296"/>
      <c r="HQ109" s="296"/>
      <c r="HR109" s="296"/>
      <c r="HS109" s="296"/>
      <c r="HT109" s="296"/>
      <c r="HU109" s="296"/>
      <c r="HV109" s="296"/>
      <c r="HW109" s="296"/>
      <c r="HX109" s="296"/>
      <c r="HY109" s="296"/>
      <c r="HZ109" s="296"/>
      <c r="IA109" s="296"/>
      <c r="IB109" s="296"/>
      <c r="IC109" s="296"/>
      <c r="ID109" s="296"/>
      <c r="IE109" s="296"/>
      <c r="IF109" s="296"/>
      <c r="IG109" s="296"/>
      <c r="IH109" s="296"/>
      <c r="II109" s="296"/>
      <c r="IJ109" s="296"/>
      <c r="IK109" s="296"/>
      <c r="IL109" s="296"/>
      <c r="IM109" s="296"/>
      <c r="IN109" s="296"/>
      <c r="IO109" s="296"/>
      <c r="IP109" s="296"/>
      <c r="IQ109" s="296"/>
      <c r="IR109" s="296"/>
      <c r="IS109" s="296"/>
      <c r="IT109" s="296"/>
      <c r="IU109" s="296"/>
      <c r="IV109" s="296"/>
    </row>
    <row r="110" spans="1:256" customFormat="1" ht="12.75" customHeight="1">
      <c r="A110" s="296"/>
      <c r="B110" s="296"/>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c r="CA110" s="296"/>
      <c r="CB110" s="296"/>
      <c r="CC110" s="296"/>
      <c r="CD110" s="296"/>
      <c r="CE110" s="296"/>
      <c r="CF110" s="296"/>
      <c r="CG110" s="296"/>
      <c r="CH110" s="296"/>
      <c r="CI110" s="296"/>
      <c r="CJ110" s="296"/>
      <c r="CK110" s="296"/>
      <c r="CL110" s="296"/>
      <c r="CM110" s="296"/>
      <c r="CN110" s="296"/>
      <c r="CO110" s="296"/>
      <c r="CP110" s="296"/>
      <c r="CQ110" s="296"/>
      <c r="CR110" s="296"/>
      <c r="CS110" s="296"/>
      <c r="CT110" s="296"/>
      <c r="CU110" s="296"/>
      <c r="CV110" s="296"/>
      <c r="CW110" s="296"/>
      <c r="CX110" s="296"/>
      <c r="CY110" s="296"/>
      <c r="CZ110" s="296"/>
      <c r="DA110" s="296"/>
      <c r="DB110" s="296"/>
      <c r="DC110" s="296"/>
      <c r="DD110" s="296"/>
      <c r="DE110" s="296"/>
      <c r="DF110" s="296"/>
      <c r="DG110" s="296"/>
      <c r="DH110" s="296"/>
      <c r="DI110" s="296"/>
      <c r="DJ110" s="296"/>
      <c r="DK110" s="296"/>
      <c r="DL110" s="296"/>
      <c r="DM110" s="296"/>
      <c r="DN110" s="296"/>
      <c r="DO110" s="296"/>
      <c r="DP110" s="296"/>
      <c r="DQ110" s="296"/>
      <c r="DR110" s="296"/>
      <c r="DS110" s="296"/>
      <c r="DT110" s="296"/>
      <c r="DU110" s="296"/>
      <c r="DV110" s="296"/>
      <c r="DW110" s="296"/>
      <c r="DX110" s="296"/>
      <c r="DY110" s="296"/>
      <c r="DZ110" s="296"/>
      <c r="EA110" s="296"/>
      <c r="EB110" s="296"/>
      <c r="EC110" s="296"/>
      <c r="ED110" s="296"/>
      <c r="EE110" s="296"/>
      <c r="EF110" s="296"/>
      <c r="EG110" s="296"/>
      <c r="EH110" s="296"/>
      <c r="EI110" s="296"/>
      <c r="EJ110" s="296"/>
      <c r="EK110" s="296"/>
      <c r="EL110" s="296"/>
      <c r="EM110" s="296"/>
      <c r="EN110" s="296"/>
      <c r="EO110" s="296"/>
      <c r="EP110" s="296"/>
      <c r="EQ110" s="296"/>
      <c r="ER110" s="296"/>
      <c r="ES110" s="296"/>
      <c r="ET110" s="296"/>
      <c r="EU110" s="296"/>
      <c r="EV110" s="296"/>
      <c r="EW110" s="296"/>
      <c r="EX110" s="296"/>
      <c r="EY110" s="296"/>
      <c r="EZ110" s="296"/>
      <c r="FA110" s="296"/>
      <c r="FB110" s="296"/>
      <c r="FC110" s="296"/>
      <c r="FD110" s="296"/>
      <c r="FE110" s="296"/>
      <c r="FF110" s="296"/>
      <c r="FG110" s="296"/>
      <c r="FH110" s="296"/>
      <c r="FI110" s="296"/>
      <c r="FJ110" s="296"/>
      <c r="FK110" s="296"/>
      <c r="FL110" s="296"/>
      <c r="FM110" s="296"/>
      <c r="FN110" s="296"/>
      <c r="FO110" s="296"/>
      <c r="FP110" s="296"/>
      <c r="FQ110" s="296"/>
      <c r="FR110" s="296"/>
      <c r="FS110" s="296"/>
      <c r="FT110" s="296"/>
      <c r="FU110" s="296"/>
      <c r="FV110" s="296"/>
      <c r="FW110" s="296"/>
      <c r="FX110" s="296"/>
      <c r="FY110" s="296"/>
      <c r="FZ110" s="296"/>
      <c r="GA110" s="296"/>
      <c r="GB110" s="296"/>
      <c r="GC110" s="296"/>
      <c r="GD110" s="296"/>
      <c r="GE110" s="296"/>
      <c r="GF110" s="296"/>
      <c r="GG110" s="296"/>
      <c r="GH110" s="296"/>
      <c r="GI110" s="296"/>
      <c r="GJ110" s="296"/>
      <c r="GK110" s="296"/>
      <c r="GL110" s="296"/>
      <c r="GM110" s="296"/>
      <c r="GN110" s="296"/>
      <c r="GO110" s="296"/>
      <c r="GP110" s="296"/>
      <c r="GQ110" s="296"/>
      <c r="GR110" s="296"/>
      <c r="GS110" s="296"/>
      <c r="GT110" s="296"/>
      <c r="GU110" s="296"/>
      <c r="GV110" s="296"/>
      <c r="GW110" s="296"/>
      <c r="GX110" s="296"/>
      <c r="GY110" s="296"/>
      <c r="GZ110" s="296"/>
      <c r="HA110" s="296"/>
      <c r="HB110" s="296"/>
      <c r="HC110" s="296"/>
      <c r="HD110" s="296"/>
      <c r="HE110" s="296"/>
      <c r="HF110" s="296"/>
      <c r="HG110" s="296"/>
      <c r="HH110" s="296"/>
      <c r="HI110" s="296"/>
      <c r="HJ110" s="296"/>
      <c r="HK110" s="296"/>
      <c r="HL110" s="296"/>
      <c r="HM110" s="296"/>
      <c r="HN110" s="296"/>
      <c r="HO110" s="296"/>
      <c r="HP110" s="296"/>
      <c r="HQ110" s="296"/>
      <c r="HR110" s="296"/>
      <c r="HS110" s="296"/>
      <c r="HT110" s="296"/>
      <c r="HU110" s="296"/>
      <c r="HV110" s="296"/>
      <c r="HW110" s="296"/>
      <c r="HX110" s="296"/>
      <c r="HY110" s="296"/>
      <c r="HZ110" s="296"/>
      <c r="IA110" s="296"/>
      <c r="IB110" s="296"/>
      <c r="IC110" s="296"/>
      <c r="ID110" s="296"/>
      <c r="IE110" s="296"/>
      <c r="IF110" s="296"/>
      <c r="IG110" s="296"/>
      <c r="IH110" s="296"/>
      <c r="II110" s="296"/>
      <c r="IJ110" s="296"/>
      <c r="IK110" s="296"/>
      <c r="IL110" s="296"/>
      <c r="IM110" s="296"/>
      <c r="IN110" s="296"/>
      <c r="IO110" s="296"/>
      <c r="IP110" s="296"/>
      <c r="IQ110" s="296"/>
      <c r="IR110" s="296"/>
      <c r="IS110" s="296"/>
      <c r="IT110" s="296"/>
      <c r="IU110" s="296"/>
      <c r="IV110" s="296"/>
    </row>
    <row r="111" spans="1:256" customFormat="1" ht="12.75" customHeight="1">
      <c r="A111" s="296"/>
      <c r="B111" s="296"/>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296"/>
      <c r="DS111" s="296"/>
      <c r="DT111" s="296"/>
      <c r="DU111" s="296"/>
      <c r="DV111" s="296"/>
      <c r="DW111" s="296"/>
      <c r="DX111" s="296"/>
      <c r="DY111" s="296"/>
      <c r="DZ111" s="296"/>
      <c r="EA111" s="296"/>
      <c r="EB111" s="296"/>
      <c r="EC111" s="296"/>
      <c r="ED111" s="296"/>
      <c r="EE111" s="296"/>
      <c r="EF111" s="296"/>
      <c r="EG111" s="296"/>
      <c r="EH111" s="296"/>
      <c r="EI111" s="296"/>
      <c r="EJ111" s="296"/>
      <c r="EK111" s="296"/>
      <c r="EL111" s="296"/>
      <c r="EM111" s="296"/>
      <c r="EN111" s="296"/>
      <c r="EO111" s="296"/>
      <c r="EP111" s="296"/>
      <c r="EQ111" s="296"/>
      <c r="ER111" s="296"/>
      <c r="ES111" s="296"/>
      <c r="ET111" s="296"/>
      <c r="EU111" s="296"/>
      <c r="EV111" s="296"/>
      <c r="EW111" s="296"/>
      <c r="EX111" s="296"/>
      <c r="EY111" s="296"/>
      <c r="EZ111" s="296"/>
      <c r="FA111" s="296"/>
      <c r="FB111" s="296"/>
      <c r="FC111" s="296"/>
      <c r="FD111" s="296"/>
      <c r="FE111" s="296"/>
      <c r="FF111" s="296"/>
      <c r="FG111" s="296"/>
      <c r="FH111" s="296"/>
      <c r="FI111" s="296"/>
      <c r="FJ111" s="296"/>
      <c r="FK111" s="296"/>
      <c r="FL111" s="296"/>
      <c r="FM111" s="296"/>
      <c r="FN111" s="296"/>
      <c r="FO111" s="296"/>
      <c r="FP111" s="296"/>
      <c r="FQ111" s="296"/>
      <c r="FR111" s="296"/>
      <c r="FS111" s="296"/>
      <c r="FT111" s="296"/>
      <c r="FU111" s="296"/>
      <c r="FV111" s="296"/>
      <c r="FW111" s="296"/>
      <c r="FX111" s="296"/>
      <c r="FY111" s="296"/>
      <c r="FZ111" s="296"/>
      <c r="GA111" s="296"/>
      <c r="GB111" s="296"/>
      <c r="GC111" s="296"/>
      <c r="GD111" s="296"/>
      <c r="GE111" s="296"/>
      <c r="GF111" s="296"/>
      <c r="GG111" s="296"/>
      <c r="GH111" s="296"/>
      <c r="GI111" s="296"/>
      <c r="GJ111" s="296"/>
      <c r="GK111" s="296"/>
      <c r="GL111" s="296"/>
      <c r="GM111" s="296"/>
      <c r="GN111" s="296"/>
      <c r="GO111" s="296"/>
      <c r="GP111" s="296"/>
      <c r="GQ111" s="296"/>
      <c r="GR111" s="296"/>
      <c r="GS111" s="296"/>
      <c r="GT111" s="296"/>
      <c r="GU111" s="296"/>
      <c r="GV111" s="296"/>
      <c r="GW111" s="296"/>
      <c r="GX111" s="296"/>
      <c r="GY111" s="296"/>
      <c r="GZ111" s="296"/>
      <c r="HA111" s="296"/>
      <c r="HB111" s="296"/>
      <c r="HC111" s="296"/>
      <c r="HD111" s="296"/>
      <c r="HE111" s="296"/>
      <c r="HF111" s="296"/>
      <c r="HG111" s="296"/>
      <c r="HH111" s="296"/>
      <c r="HI111" s="296"/>
      <c r="HJ111" s="296"/>
      <c r="HK111" s="296"/>
      <c r="HL111" s="296"/>
      <c r="HM111" s="296"/>
      <c r="HN111" s="296"/>
      <c r="HO111" s="296"/>
      <c r="HP111" s="296"/>
      <c r="HQ111" s="296"/>
      <c r="HR111" s="296"/>
      <c r="HS111" s="296"/>
      <c r="HT111" s="296"/>
      <c r="HU111" s="296"/>
      <c r="HV111" s="296"/>
      <c r="HW111" s="296"/>
      <c r="HX111" s="296"/>
      <c r="HY111" s="296"/>
      <c r="HZ111" s="296"/>
      <c r="IA111" s="296"/>
      <c r="IB111" s="296"/>
      <c r="IC111" s="296"/>
      <c r="ID111" s="296"/>
      <c r="IE111" s="296"/>
      <c r="IF111" s="296"/>
      <c r="IG111" s="296"/>
      <c r="IH111" s="296"/>
      <c r="II111" s="296"/>
      <c r="IJ111" s="296"/>
      <c r="IK111" s="296"/>
      <c r="IL111" s="296"/>
      <c r="IM111" s="296"/>
      <c r="IN111" s="296"/>
      <c r="IO111" s="296"/>
      <c r="IP111" s="296"/>
      <c r="IQ111" s="296"/>
      <c r="IR111" s="296"/>
      <c r="IS111" s="296"/>
      <c r="IT111" s="296"/>
      <c r="IU111" s="296"/>
      <c r="IV111" s="296"/>
    </row>
    <row r="112" spans="1:256" customFormat="1" ht="12.75" customHeight="1">
      <c r="A112" s="296"/>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96"/>
      <c r="DW112" s="296"/>
      <c r="DX112" s="296"/>
      <c r="DY112" s="296"/>
      <c r="DZ112" s="296"/>
      <c r="EA112" s="296"/>
      <c r="EB112" s="296"/>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G112" s="296"/>
      <c r="FH112" s="296"/>
      <c r="FI112" s="296"/>
      <c r="FJ112" s="296"/>
      <c r="FK112" s="296"/>
      <c r="FL112" s="296"/>
      <c r="FM112" s="296"/>
      <c r="FN112" s="296"/>
      <c r="FO112" s="296"/>
      <c r="FP112" s="296"/>
      <c r="FQ112" s="296"/>
      <c r="FR112" s="296"/>
      <c r="FS112" s="296"/>
      <c r="FT112" s="296"/>
      <c r="FU112" s="296"/>
      <c r="FV112" s="296"/>
      <c r="FW112" s="296"/>
      <c r="FX112" s="296"/>
      <c r="FY112" s="296"/>
      <c r="FZ112" s="296"/>
      <c r="GA112" s="296"/>
      <c r="GB112" s="296"/>
      <c r="GC112" s="296"/>
      <c r="GD112" s="296"/>
      <c r="GE112" s="296"/>
      <c r="GF112" s="296"/>
      <c r="GG112" s="296"/>
      <c r="GH112" s="296"/>
      <c r="GI112" s="296"/>
      <c r="GJ112" s="296"/>
      <c r="GK112" s="296"/>
      <c r="GL112" s="296"/>
      <c r="GM112" s="296"/>
      <c r="GN112" s="296"/>
      <c r="GO112" s="296"/>
      <c r="GP112" s="296"/>
      <c r="GQ112" s="296"/>
      <c r="GR112" s="296"/>
      <c r="GS112" s="296"/>
      <c r="GT112" s="296"/>
      <c r="GU112" s="296"/>
      <c r="GV112" s="296"/>
      <c r="GW112" s="296"/>
      <c r="GX112" s="296"/>
      <c r="GY112" s="296"/>
      <c r="GZ112" s="296"/>
      <c r="HA112" s="296"/>
      <c r="HB112" s="296"/>
      <c r="HC112" s="296"/>
      <c r="HD112" s="296"/>
      <c r="HE112" s="296"/>
      <c r="HF112" s="296"/>
      <c r="HG112" s="296"/>
      <c r="HH112" s="296"/>
      <c r="HI112" s="296"/>
      <c r="HJ112" s="296"/>
      <c r="HK112" s="296"/>
      <c r="HL112" s="296"/>
      <c r="HM112" s="296"/>
      <c r="HN112" s="296"/>
      <c r="HO112" s="296"/>
      <c r="HP112" s="296"/>
      <c r="HQ112" s="296"/>
      <c r="HR112" s="296"/>
      <c r="HS112" s="296"/>
      <c r="HT112" s="296"/>
      <c r="HU112" s="296"/>
      <c r="HV112" s="296"/>
      <c r="HW112" s="296"/>
      <c r="HX112" s="296"/>
      <c r="HY112" s="296"/>
      <c r="HZ112" s="296"/>
      <c r="IA112" s="296"/>
      <c r="IB112" s="296"/>
      <c r="IC112" s="296"/>
      <c r="ID112" s="296"/>
      <c r="IE112" s="296"/>
      <c r="IF112" s="296"/>
      <c r="IG112" s="296"/>
      <c r="IH112" s="296"/>
      <c r="II112" s="296"/>
      <c r="IJ112" s="296"/>
      <c r="IK112" s="296"/>
      <c r="IL112" s="296"/>
      <c r="IM112" s="296"/>
      <c r="IN112" s="296"/>
      <c r="IO112" s="296"/>
      <c r="IP112" s="296"/>
      <c r="IQ112" s="296"/>
      <c r="IR112" s="296"/>
      <c r="IS112" s="296"/>
      <c r="IT112" s="296"/>
      <c r="IU112" s="296"/>
      <c r="IV112" s="296"/>
    </row>
    <row r="113" spans="1:256" customFormat="1" ht="12.75" customHeight="1">
      <c r="A113" s="296"/>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6"/>
      <c r="DD113" s="296"/>
      <c r="DE113" s="296"/>
      <c r="DF113" s="296"/>
      <c r="DG113" s="296"/>
      <c r="DH113" s="296"/>
      <c r="DI113" s="296"/>
      <c r="DJ113" s="296"/>
      <c r="DK113" s="296"/>
      <c r="DL113" s="296"/>
      <c r="DM113" s="296"/>
      <c r="DN113" s="296"/>
      <c r="DO113" s="296"/>
      <c r="DP113" s="296"/>
      <c r="DQ113" s="296"/>
      <c r="DR113" s="296"/>
      <c r="DS113" s="296"/>
      <c r="DT113" s="296"/>
      <c r="DU113" s="296"/>
      <c r="DV113" s="296"/>
      <c r="DW113" s="296"/>
      <c r="DX113" s="296"/>
      <c r="DY113" s="296"/>
      <c r="DZ113" s="296"/>
      <c r="EA113" s="296"/>
      <c r="EB113" s="296"/>
      <c r="EC113" s="296"/>
      <c r="ED113" s="296"/>
      <c r="EE113" s="296"/>
      <c r="EF113" s="296"/>
      <c r="EG113" s="296"/>
      <c r="EH113" s="296"/>
      <c r="EI113" s="296"/>
      <c r="EJ113" s="296"/>
      <c r="EK113" s="296"/>
      <c r="EL113" s="296"/>
      <c r="EM113" s="296"/>
      <c r="EN113" s="296"/>
      <c r="EO113" s="296"/>
      <c r="EP113" s="296"/>
      <c r="EQ113" s="296"/>
      <c r="ER113" s="296"/>
      <c r="ES113" s="296"/>
      <c r="ET113" s="296"/>
      <c r="EU113" s="296"/>
      <c r="EV113" s="296"/>
      <c r="EW113" s="296"/>
      <c r="EX113" s="296"/>
      <c r="EY113" s="296"/>
      <c r="EZ113" s="296"/>
      <c r="FA113" s="296"/>
      <c r="FB113" s="296"/>
      <c r="FC113" s="296"/>
      <c r="FD113" s="296"/>
      <c r="FE113" s="296"/>
      <c r="FF113" s="296"/>
      <c r="FG113" s="296"/>
      <c r="FH113" s="296"/>
      <c r="FI113" s="296"/>
      <c r="FJ113" s="296"/>
      <c r="FK113" s="296"/>
      <c r="FL113" s="296"/>
      <c r="FM113" s="296"/>
      <c r="FN113" s="296"/>
      <c r="FO113" s="296"/>
      <c r="FP113" s="296"/>
      <c r="FQ113" s="296"/>
      <c r="FR113" s="296"/>
      <c r="FS113" s="296"/>
      <c r="FT113" s="296"/>
      <c r="FU113" s="296"/>
      <c r="FV113" s="296"/>
      <c r="FW113" s="296"/>
      <c r="FX113" s="296"/>
      <c r="FY113" s="296"/>
      <c r="FZ113" s="296"/>
      <c r="GA113" s="296"/>
      <c r="GB113" s="296"/>
      <c r="GC113" s="296"/>
      <c r="GD113" s="296"/>
      <c r="GE113" s="296"/>
      <c r="GF113" s="296"/>
      <c r="GG113" s="296"/>
      <c r="GH113" s="296"/>
      <c r="GI113" s="296"/>
      <c r="GJ113" s="296"/>
      <c r="GK113" s="296"/>
      <c r="GL113" s="296"/>
      <c r="GM113" s="296"/>
      <c r="GN113" s="296"/>
      <c r="GO113" s="296"/>
      <c r="GP113" s="296"/>
      <c r="GQ113" s="296"/>
      <c r="GR113" s="296"/>
      <c r="GS113" s="296"/>
      <c r="GT113" s="296"/>
      <c r="GU113" s="296"/>
      <c r="GV113" s="296"/>
      <c r="GW113" s="296"/>
      <c r="GX113" s="296"/>
      <c r="GY113" s="296"/>
      <c r="GZ113" s="296"/>
      <c r="HA113" s="296"/>
      <c r="HB113" s="296"/>
      <c r="HC113" s="296"/>
      <c r="HD113" s="296"/>
      <c r="HE113" s="296"/>
      <c r="HF113" s="296"/>
      <c r="HG113" s="296"/>
      <c r="HH113" s="296"/>
      <c r="HI113" s="296"/>
      <c r="HJ113" s="296"/>
      <c r="HK113" s="296"/>
      <c r="HL113" s="296"/>
      <c r="HM113" s="296"/>
      <c r="HN113" s="296"/>
      <c r="HO113" s="296"/>
      <c r="HP113" s="296"/>
      <c r="HQ113" s="296"/>
      <c r="HR113" s="296"/>
      <c r="HS113" s="296"/>
      <c r="HT113" s="296"/>
      <c r="HU113" s="296"/>
      <c r="HV113" s="296"/>
      <c r="HW113" s="296"/>
      <c r="HX113" s="296"/>
      <c r="HY113" s="296"/>
      <c r="HZ113" s="296"/>
      <c r="IA113" s="296"/>
      <c r="IB113" s="296"/>
      <c r="IC113" s="296"/>
      <c r="ID113" s="296"/>
      <c r="IE113" s="296"/>
      <c r="IF113" s="296"/>
      <c r="IG113" s="296"/>
      <c r="IH113" s="296"/>
      <c r="II113" s="296"/>
      <c r="IJ113" s="296"/>
      <c r="IK113" s="296"/>
      <c r="IL113" s="296"/>
      <c r="IM113" s="296"/>
      <c r="IN113" s="296"/>
      <c r="IO113" s="296"/>
      <c r="IP113" s="296"/>
      <c r="IQ113" s="296"/>
      <c r="IR113" s="296"/>
      <c r="IS113" s="296"/>
      <c r="IT113" s="296"/>
      <c r="IU113" s="296"/>
      <c r="IV113" s="296"/>
    </row>
    <row r="114" spans="1:256" customFormat="1" ht="12.75" customHeight="1">
      <c r="A114" s="296"/>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6"/>
      <c r="DD114" s="296"/>
      <c r="DE114" s="296"/>
      <c r="DF114" s="296"/>
      <c r="DG114" s="296"/>
      <c r="DH114" s="296"/>
      <c r="DI114" s="296"/>
      <c r="DJ114" s="296"/>
      <c r="DK114" s="296"/>
      <c r="DL114" s="296"/>
      <c r="DM114" s="296"/>
      <c r="DN114" s="296"/>
      <c r="DO114" s="296"/>
      <c r="DP114" s="296"/>
      <c r="DQ114" s="296"/>
      <c r="DR114" s="296"/>
      <c r="DS114" s="296"/>
      <c r="DT114" s="296"/>
      <c r="DU114" s="296"/>
      <c r="DV114" s="296"/>
      <c r="DW114" s="296"/>
      <c r="DX114" s="296"/>
      <c r="DY114" s="296"/>
      <c r="DZ114" s="296"/>
      <c r="EA114" s="296"/>
      <c r="EB114" s="296"/>
      <c r="EC114" s="296"/>
      <c r="ED114" s="296"/>
      <c r="EE114" s="296"/>
      <c r="EF114" s="296"/>
      <c r="EG114" s="296"/>
      <c r="EH114" s="296"/>
      <c r="EI114" s="296"/>
      <c r="EJ114" s="296"/>
      <c r="EK114" s="296"/>
      <c r="EL114" s="296"/>
      <c r="EM114" s="296"/>
      <c r="EN114" s="296"/>
      <c r="EO114" s="296"/>
      <c r="EP114" s="296"/>
      <c r="EQ114" s="296"/>
      <c r="ER114" s="296"/>
      <c r="ES114" s="296"/>
      <c r="ET114" s="296"/>
      <c r="EU114" s="296"/>
      <c r="EV114" s="296"/>
      <c r="EW114" s="296"/>
      <c r="EX114" s="296"/>
      <c r="EY114" s="296"/>
      <c r="EZ114" s="296"/>
      <c r="FA114" s="296"/>
      <c r="FB114" s="296"/>
      <c r="FC114" s="296"/>
      <c r="FD114" s="296"/>
      <c r="FE114" s="296"/>
      <c r="FF114" s="296"/>
      <c r="FG114" s="296"/>
      <c r="FH114" s="296"/>
      <c r="FI114" s="296"/>
      <c r="FJ114" s="296"/>
      <c r="FK114" s="296"/>
      <c r="FL114" s="296"/>
      <c r="FM114" s="296"/>
      <c r="FN114" s="296"/>
      <c r="FO114" s="296"/>
      <c r="FP114" s="296"/>
      <c r="FQ114" s="296"/>
      <c r="FR114" s="296"/>
      <c r="FS114" s="296"/>
      <c r="FT114" s="296"/>
      <c r="FU114" s="296"/>
      <c r="FV114" s="296"/>
      <c r="FW114" s="296"/>
      <c r="FX114" s="296"/>
      <c r="FY114" s="296"/>
      <c r="FZ114" s="296"/>
      <c r="GA114" s="296"/>
      <c r="GB114" s="296"/>
      <c r="GC114" s="296"/>
      <c r="GD114" s="296"/>
      <c r="GE114" s="296"/>
      <c r="GF114" s="296"/>
      <c r="GG114" s="296"/>
      <c r="GH114" s="296"/>
      <c r="GI114" s="296"/>
      <c r="GJ114" s="296"/>
      <c r="GK114" s="296"/>
      <c r="GL114" s="296"/>
      <c r="GM114" s="296"/>
      <c r="GN114" s="296"/>
      <c r="GO114" s="296"/>
      <c r="GP114" s="296"/>
      <c r="GQ114" s="296"/>
      <c r="GR114" s="296"/>
      <c r="GS114" s="296"/>
      <c r="GT114" s="296"/>
      <c r="GU114" s="296"/>
      <c r="GV114" s="296"/>
      <c r="GW114" s="296"/>
      <c r="GX114" s="296"/>
      <c r="GY114" s="296"/>
      <c r="GZ114" s="296"/>
      <c r="HA114" s="296"/>
      <c r="HB114" s="296"/>
      <c r="HC114" s="296"/>
      <c r="HD114" s="296"/>
      <c r="HE114" s="296"/>
      <c r="HF114" s="296"/>
      <c r="HG114" s="296"/>
      <c r="HH114" s="296"/>
      <c r="HI114" s="296"/>
      <c r="HJ114" s="296"/>
      <c r="HK114" s="296"/>
      <c r="HL114" s="296"/>
      <c r="HM114" s="296"/>
      <c r="HN114" s="296"/>
      <c r="HO114" s="296"/>
      <c r="HP114" s="296"/>
      <c r="HQ114" s="296"/>
      <c r="HR114" s="296"/>
      <c r="HS114" s="296"/>
      <c r="HT114" s="296"/>
      <c r="HU114" s="296"/>
      <c r="HV114" s="296"/>
      <c r="HW114" s="296"/>
      <c r="HX114" s="296"/>
      <c r="HY114" s="296"/>
      <c r="HZ114" s="296"/>
      <c r="IA114" s="296"/>
      <c r="IB114" s="296"/>
      <c r="IC114" s="296"/>
      <c r="ID114" s="296"/>
      <c r="IE114" s="296"/>
      <c r="IF114" s="296"/>
      <c r="IG114" s="296"/>
      <c r="IH114" s="296"/>
      <c r="II114" s="296"/>
      <c r="IJ114" s="296"/>
      <c r="IK114" s="296"/>
      <c r="IL114" s="296"/>
      <c r="IM114" s="296"/>
      <c r="IN114" s="296"/>
      <c r="IO114" s="296"/>
      <c r="IP114" s="296"/>
      <c r="IQ114" s="296"/>
      <c r="IR114" s="296"/>
      <c r="IS114" s="296"/>
      <c r="IT114" s="296"/>
      <c r="IU114" s="296"/>
      <c r="IV114" s="296"/>
    </row>
    <row r="115" spans="1:256" customFormat="1" ht="12.75" customHeight="1">
      <c r="A115" s="296"/>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6"/>
      <c r="DD115" s="296"/>
      <c r="DE115" s="296"/>
      <c r="DF115" s="296"/>
      <c r="DG115" s="296"/>
      <c r="DH115" s="296"/>
      <c r="DI115" s="296"/>
      <c r="DJ115" s="296"/>
      <c r="DK115" s="296"/>
      <c r="DL115" s="296"/>
      <c r="DM115" s="296"/>
      <c r="DN115" s="296"/>
      <c r="DO115" s="296"/>
      <c r="DP115" s="296"/>
      <c r="DQ115" s="296"/>
      <c r="DR115" s="296"/>
      <c r="DS115" s="296"/>
      <c r="DT115" s="296"/>
      <c r="DU115" s="296"/>
      <c r="DV115" s="296"/>
      <c r="DW115" s="296"/>
      <c r="DX115" s="296"/>
      <c r="DY115" s="296"/>
      <c r="DZ115" s="296"/>
      <c r="EA115" s="296"/>
      <c r="EB115" s="296"/>
      <c r="EC115" s="296"/>
      <c r="ED115" s="296"/>
      <c r="EE115" s="296"/>
      <c r="EF115" s="296"/>
      <c r="EG115" s="296"/>
      <c r="EH115" s="296"/>
      <c r="EI115" s="296"/>
      <c r="EJ115" s="296"/>
      <c r="EK115" s="296"/>
      <c r="EL115" s="296"/>
      <c r="EM115" s="296"/>
      <c r="EN115" s="296"/>
      <c r="EO115" s="296"/>
      <c r="EP115" s="296"/>
      <c r="EQ115" s="296"/>
      <c r="ER115" s="296"/>
      <c r="ES115" s="296"/>
      <c r="ET115" s="296"/>
      <c r="EU115" s="296"/>
      <c r="EV115" s="296"/>
      <c r="EW115" s="296"/>
      <c r="EX115" s="296"/>
      <c r="EY115" s="296"/>
      <c r="EZ115" s="296"/>
      <c r="FA115" s="296"/>
      <c r="FB115" s="296"/>
      <c r="FC115" s="296"/>
      <c r="FD115" s="296"/>
      <c r="FE115" s="296"/>
      <c r="FF115" s="296"/>
      <c r="FG115" s="296"/>
      <c r="FH115" s="296"/>
      <c r="FI115" s="296"/>
      <c r="FJ115" s="296"/>
      <c r="FK115" s="296"/>
      <c r="FL115" s="296"/>
      <c r="FM115" s="296"/>
      <c r="FN115" s="296"/>
      <c r="FO115" s="296"/>
      <c r="FP115" s="296"/>
      <c r="FQ115" s="296"/>
      <c r="FR115" s="296"/>
      <c r="FS115" s="296"/>
      <c r="FT115" s="296"/>
      <c r="FU115" s="296"/>
      <c r="FV115" s="296"/>
      <c r="FW115" s="296"/>
      <c r="FX115" s="296"/>
      <c r="FY115" s="296"/>
      <c r="FZ115" s="296"/>
      <c r="GA115" s="296"/>
      <c r="GB115" s="296"/>
      <c r="GC115" s="296"/>
      <c r="GD115" s="296"/>
      <c r="GE115" s="296"/>
      <c r="GF115" s="296"/>
      <c r="GG115" s="296"/>
      <c r="GH115" s="296"/>
      <c r="GI115" s="296"/>
      <c r="GJ115" s="296"/>
      <c r="GK115" s="296"/>
      <c r="GL115" s="296"/>
      <c r="GM115" s="296"/>
      <c r="GN115" s="296"/>
      <c r="GO115" s="296"/>
      <c r="GP115" s="296"/>
      <c r="GQ115" s="296"/>
      <c r="GR115" s="296"/>
      <c r="GS115" s="296"/>
      <c r="GT115" s="296"/>
      <c r="GU115" s="296"/>
      <c r="GV115" s="296"/>
      <c r="GW115" s="296"/>
      <c r="GX115" s="296"/>
      <c r="GY115" s="296"/>
      <c r="GZ115" s="296"/>
      <c r="HA115" s="296"/>
      <c r="HB115" s="296"/>
      <c r="HC115" s="296"/>
      <c r="HD115" s="296"/>
      <c r="HE115" s="296"/>
      <c r="HF115" s="296"/>
      <c r="HG115" s="296"/>
      <c r="HH115" s="296"/>
      <c r="HI115" s="296"/>
      <c r="HJ115" s="296"/>
      <c r="HK115" s="296"/>
      <c r="HL115" s="296"/>
      <c r="HM115" s="296"/>
      <c r="HN115" s="296"/>
      <c r="HO115" s="296"/>
      <c r="HP115" s="296"/>
      <c r="HQ115" s="296"/>
      <c r="HR115" s="296"/>
      <c r="HS115" s="296"/>
      <c r="HT115" s="296"/>
      <c r="HU115" s="296"/>
      <c r="HV115" s="296"/>
      <c r="HW115" s="296"/>
      <c r="HX115" s="296"/>
      <c r="HY115" s="296"/>
      <c r="HZ115" s="296"/>
      <c r="IA115" s="296"/>
      <c r="IB115" s="296"/>
      <c r="IC115" s="296"/>
      <c r="ID115" s="296"/>
      <c r="IE115" s="296"/>
      <c r="IF115" s="296"/>
      <c r="IG115" s="296"/>
      <c r="IH115" s="296"/>
      <c r="II115" s="296"/>
      <c r="IJ115" s="296"/>
      <c r="IK115" s="296"/>
      <c r="IL115" s="296"/>
      <c r="IM115" s="296"/>
      <c r="IN115" s="296"/>
      <c r="IO115" s="296"/>
      <c r="IP115" s="296"/>
      <c r="IQ115" s="296"/>
      <c r="IR115" s="296"/>
      <c r="IS115" s="296"/>
      <c r="IT115" s="296"/>
      <c r="IU115" s="296"/>
      <c r="IV115" s="296"/>
    </row>
    <row r="116" spans="1:256" customFormat="1" ht="12.75" customHeight="1">
      <c r="A116" s="296"/>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6"/>
      <c r="DD116" s="296"/>
      <c r="DE116" s="296"/>
      <c r="DF116" s="296"/>
      <c r="DG116" s="296"/>
      <c r="DH116" s="296"/>
      <c r="DI116" s="296"/>
      <c r="DJ116" s="296"/>
      <c r="DK116" s="296"/>
      <c r="DL116" s="296"/>
      <c r="DM116" s="296"/>
      <c r="DN116" s="296"/>
      <c r="DO116" s="296"/>
      <c r="DP116" s="296"/>
      <c r="DQ116" s="296"/>
      <c r="DR116" s="296"/>
      <c r="DS116" s="296"/>
      <c r="DT116" s="296"/>
      <c r="DU116" s="296"/>
      <c r="DV116" s="296"/>
      <c r="DW116" s="296"/>
      <c r="DX116" s="296"/>
      <c r="DY116" s="296"/>
      <c r="DZ116" s="296"/>
      <c r="EA116" s="296"/>
      <c r="EB116" s="296"/>
      <c r="EC116" s="296"/>
      <c r="ED116" s="296"/>
      <c r="EE116" s="296"/>
      <c r="EF116" s="296"/>
      <c r="EG116" s="296"/>
      <c r="EH116" s="296"/>
      <c r="EI116" s="296"/>
      <c r="EJ116" s="296"/>
      <c r="EK116" s="296"/>
      <c r="EL116" s="296"/>
      <c r="EM116" s="296"/>
      <c r="EN116" s="296"/>
      <c r="EO116" s="296"/>
      <c r="EP116" s="296"/>
      <c r="EQ116" s="296"/>
      <c r="ER116" s="296"/>
      <c r="ES116" s="296"/>
      <c r="ET116" s="296"/>
      <c r="EU116" s="296"/>
      <c r="EV116" s="296"/>
      <c r="EW116" s="296"/>
      <c r="EX116" s="296"/>
      <c r="EY116" s="296"/>
      <c r="EZ116" s="296"/>
      <c r="FA116" s="296"/>
      <c r="FB116" s="296"/>
      <c r="FC116" s="296"/>
      <c r="FD116" s="296"/>
      <c r="FE116" s="296"/>
      <c r="FF116" s="296"/>
      <c r="FG116" s="296"/>
      <c r="FH116" s="296"/>
      <c r="FI116" s="296"/>
      <c r="FJ116" s="296"/>
      <c r="FK116" s="296"/>
      <c r="FL116" s="296"/>
      <c r="FM116" s="296"/>
      <c r="FN116" s="296"/>
      <c r="FO116" s="296"/>
      <c r="FP116" s="296"/>
      <c r="FQ116" s="296"/>
      <c r="FR116" s="296"/>
      <c r="FS116" s="296"/>
      <c r="FT116" s="296"/>
      <c r="FU116" s="296"/>
      <c r="FV116" s="296"/>
      <c r="FW116" s="296"/>
      <c r="FX116" s="296"/>
      <c r="FY116" s="296"/>
      <c r="FZ116" s="296"/>
      <c r="GA116" s="296"/>
      <c r="GB116" s="296"/>
      <c r="GC116" s="296"/>
      <c r="GD116" s="296"/>
      <c r="GE116" s="296"/>
      <c r="GF116" s="296"/>
      <c r="GG116" s="296"/>
      <c r="GH116" s="296"/>
      <c r="GI116" s="296"/>
      <c r="GJ116" s="296"/>
      <c r="GK116" s="296"/>
      <c r="GL116" s="296"/>
      <c r="GM116" s="296"/>
      <c r="GN116" s="296"/>
      <c r="GO116" s="296"/>
      <c r="GP116" s="296"/>
      <c r="GQ116" s="296"/>
      <c r="GR116" s="296"/>
      <c r="GS116" s="296"/>
      <c r="GT116" s="296"/>
      <c r="GU116" s="296"/>
      <c r="GV116" s="296"/>
      <c r="GW116" s="296"/>
      <c r="GX116" s="296"/>
      <c r="GY116" s="296"/>
      <c r="GZ116" s="296"/>
      <c r="HA116" s="296"/>
      <c r="HB116" s="296"/>
      <c r="HC116" s="296"/>
      <c r="HD116" s="296"/>
      <c r="HE116" s="296"/>
      <c r="HF116" s="296"/>
      <c r="HG116" s="296"/>
      <c r="HH116" s="296"/>
      <c r="HI116" s="296"/>
      <c r="HJ116" s="296"/>
      <c r="HK116" s="296"/>
      <c r="HL116" s="296"/>
      <c r="HM116" s="296"/>
      <c r="HN116" s="296"/>
      <c r="HO116" s="296"/>
      <c r="HP116" s="296"/>
      <c r="HQ116" s="296"/>
      <c r="HR116" s="296"/>
      <c r="HS116" s="296"/>
      <c r="HT116" s="296"/>
      <c r="HU116" s="296"/>
      <c r="HV116" s="296"/>
      <c r="HW116" s="296"/>
      <c r="HX116" s="296"/>
      <c r="HY116" s="296"/>
      <c r="HZ116" s="296"/>
      <c r="IA116" s="296"/>
      <c r="IB116" s="296"/>
      <c r="IC116" s="296"/>
      <c r="ID116" s="296"/>
      <c r="IE116" s="296"/>
      <c r="IF116" s="296"/>
      <c r="IG116" s="296"/>
      <c r="IH116" s="296"/>
      <c r="II116" s="296"/>
      <c r="IJ116" s="296"/>
      <c r="IK116" s="296"/>
      <c r="IL116" s="296"/>
      <c r="IM116" s="296"/>
      <c r="IN116" s="296"/>
      <c r="IO116" s="296"/>
      <c r="IP116" s="296"/>
      <c r="IQ116" s="296"/>
      <c r="IR116" s="296"/>
      <c r="IS116" s="296"/>
      <c r="IT116" s="296"/>
      <c r="IU116" s="296"/>
      <c r="IV116" s="296"/>
    </row>
    <row r="117" spans="1:256" customFormat="1" ht="12.75" customHeight="1">
      <c r="A117" s="296"/>
      <c r="B117" s="296"/>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6"/>
      <c r="DD117" s="296"/>
      <c r="DE117" s="296"/>
      <c r="DF117" s="296"/>
      <c r="DG117" s="296"/>
      <c r="DH117" s="296"/>
      <c r="DI117" s="296"/>
      <c r="DJ117" s="296"/>
      <c r="DK117" s="296"/>
      <c r="DL117" s="296"/>
      <c r="DM117" s="296"/>
      <c r="DN117" s="296"/>
      <c r="DO117" s="296"/>
      <c r="DP117" s="296"/>
      <c r="DQ117" s="296"/>
      <c r="DR117" s="296"/>
      <c r="DS117" s="296"/>
      <c r="DT117" s="296"/>
      <c r="DU117" s="296"/>
      <c r="DV117" s="296"/>
      <c r="DW117" s="296"/>
      <c r="DX117" s="296"/>
      <c r="DY117" s="296"/>
      <c r="DZ117" s="296"/>
      <c r="EA117" s="296"/>
      <c r="EB117" s="296"/>
      <c r="EC117" s="296"/>
      <c r="ED117" s="296"/>
      <c r="EE117" s="296"/>
      <c r="EF117" s="296"/>
      <c r="EG117" s="296"/>
      <c r="EH117" s="296"/>
      <c r="EI117" s="296"/>
      <c r="EJ117" s="296"/>
      <c r="EK117" s="296"/>
      <c r="EL117" s="296"/>
      <c r="EM117" s="296"/>
      <c r="EN117" s="296"/>
      <c r="EO117" s="296"/>
      <c r="EP117" s="296"/>
      <c r="EQ117" s="296"/>
      <c r="ER117" s="296"/>
      <c r="ES117" s="296"/>
      <c r="ET117" s="296"/>
      <c r="EU117" s="296"/>
      <c r="EV117" s="296"/>
      <c r="EW117" s="296"/>
      <c r="EX117" s="296"/>
      <c r="EY117" s="296"/>
      <c r="EZ117" s="296"/>
      <c r="FA117" s="296"/>
      <c r="FB117" s="296"/>
      <c r="FC117" s="296"/>
      <c r="FD117" s="296"/>
      <c r="FE117" s="296"/>
      <c r="FF117" s="296"/>
      <c r="FG117" s="296"/>
      <c r="FH117" s="296"/>
      <c r="FI117" s="296"/>
      <c r="FJ117" s="296"/>
      <c r="FK117" s="296"/>
      <c r="FL117" s="296"/>
      <c r="FM117" s="296"/>
      <c r="FN117" s="296"/>
      <c r="FO117" s="296"/>
      <c r="FP117" s="296"/>
      <c r="FQ117" s="296"/>
      <c r="FR117" s="296"/>
      <c r="FS117" s="296"/>
      <c r="FT117" s="296"/>
      <c r="FU117" s="296"/>
      <c r="FV117" s="296"/>
      <c r="FW117" s="296"/>
      <c r="FX117" s="296"/>
      <c r="FY117" s="296"/>
      <c r="FZ117" s="296"/>
      <c r="GA117" s="296"/>
      <c r="GB117" s="296"/>
      <c r="GC117" s="296"/>
      <c r="GD117" s="296"/>
      <c r="GE117" s="296"/>
      <c r="GF117" s="296"/>
      <c r="GG117" s="296"/>
      <c r="GH117" s="296"/>
      <c r="GI117" s="296"/>
      <c r="GJ117" s="296"/>
      <c r="GK117" s="296"/>
      <c r="GL117" s="296"/>
      <c r="GM117" s="296"/>
      <c r="GN117" s="296"/>
      <c r="GO117" s="296"/>
      <c r="GP117" s="296"/>
      <c r="GQ117" s="296"/>
      <c r="GR117" s="296"/>
      <c r="GS117" s="296"/>
      <c r="GT117" s="296"/>
      <c r="GU117" s="296"/>
      <c r="GV117" s="296"/>
      <c r="GW117" s="296"/>
      <c r="GX117" s="296"/>
      <c r="GY117" s="296"/>
      <c r="GZ117" s="296"/>
      <c r="HA117" s="296"/>
      <c r="HB117" s="296"/>
      <c r="HC117" s="296"/>
      <c r="HD117" s="296"/>
      <c r="HE117" s="296"/>
      <c r="HF117" s="296"/>
      <c r="HG117" s="296"/>
      <c r="HH117" s="296"/>
      <c r="HI117" s="296"/>
      <c r="HJ117" s="296"/>
      <c r="HK117" s="296"/>
      <c r="HL117" s="296"/>
      <c r="HM117" s="296"/>
      <c r="HN117" s="296"/>
      <c r="HO117" s="296"/>
      <c r="HP117" s="296"/>
      <c r="HQ117" s="296"/>
      <c r="HR117" s="296"/>
      <c r="HS117" s="296"/>
      <c r="HT117" s="296"/>
      <c r="HU117" s="296"/>
      <c r="HV117" s="296"/>
      <c r="HW117" s="296"/>
      <c r="HX117" s="296"/>
      <c r="HY117" s="296"/>
      <c r="HZ117" s="296"/>
      <c r="IA117" s="296"/>
      <c r="IB117" s="296"/>
      <c r="IC117" s="296"/>
      <c r="ID117" s="296"/>
      <c r="IE117" s="296"/>
      <c r="IF117" s="296"/>
      <c r="IG117" s="296"/>
      <c r="IH117" s="296"/>
      <c r="II117" s="296"/>
      <c r="IJ117" s="296"/>
      <c r="IK117" s="296"/>
      <c r="IL117" s="296"/>
      <c r="IM117" s="296"/>
      <c r="IN117" s="296"/>
      <c r="IO117" s="296"/>
      <c r="IP117" s="296"/>
      <c r="IQ117" s="296"/>
      <c r="IR117" s="296"/>
      <c r="IS117" s="296"/>
      <c r="IT117" s="296"/>
      <c r="IU117" s="296"/>
      <c r="IV117" s="296"/>
    </row>
    <row r="118" spans="1:256" customFormat="1" ht="12.75" customHeight="1">
      <c r="A118" s="296"/>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6"/>
      <c r="DD118" s="296"/>
      <c r="DE118" s="296"/>
      <c r="DF118" s="296"/>
      <c r="DG118" s="296"/>
      <c r="DH118" s="296"/>
      <c r="DI118" s="296"/>
      <c r="DJ118" s="296"/>
      <c r="DK118" s="296"/>
      <c r="DL118" s="296"/>
      <c r="DM118" s="296"/>
      <c r="DN118" s="296"/>
      <c r="DO118" s="296"/>
      <c r="DP118" s="296"/>
      <c r="DQ118" s="296"/>
      <c r="DR118" s="296"/>
      <c r="DS118" s="296"/>
      <c r="DT118" s="296"/>
      <c r="DU118" s="296"/>
      <c r="DV118" s="296"/>
      <c r="DW118" s="296"/>
      <c r="DX118" s="296"/>
      <c r="DY118" s="296"/>
      <c r="DZ118" s="296"/>
      <c r="EA118" s="296"/>
      <c r="EB118" s="296"/>
      <c r="EC118" s="296"/>
      <c r="ED118" s="296"/>
      <c r="EE118" s="296"/>
      <c r="EF118" s="296"/>
      <c r="EG118" s="296"/>
      <c r="EH118" s="296"/>
      <c r="EI118" s="296"/>
      <c r="EJ118" s="296"/>
      <c r="EK118" s="296"/>
      <c r="EL118" s="296"/>
      <c r="EM118" s="296"/>
      <c r="EN118" s="296"/>
      <c r="EO118" s="296"/>
      <c r="EP118" s="296"/>
      <c r="EQ118" s="296"/>
      <c r="ER118" s="296"/>
      <c r="ES118" s="296"/>
      <c r="ET118" s="296"/>
      <c r="EU118" s="296"/>
      <c r="EV118" s="296"/>
      <c r="EW118" s="296"/>
      <c r="EX118" s="296"/>
      <c r="EY118" s="296"/>
      <c r="EZ118" s="296"/>
      <c r="FA118" s="296"/>
      <c r="FB118" s="296"/>
      <c r="FC118" s="296"/>
      <c r="FD118" s="296"/>
      <c r="FE118" s="296"/>
      <c r="FF118" s="296"/>
      <c r="FG118" s="296"/>
      <c r="FH118" s="296"/>
      <c r="FI118" s="296"/>
      <c r="FJ118" s="296"/>
      <c r="FK118" s="296"/>
      <c r="FL118" s="296"/>
      <c r="FM118" s="296"/>
      <c r="FN118" s="296"/>
      <c r="FO118" s="296"/>
      <c r="FP118" s="296"/>
      <c r="FQ118" s="296"/>
      <c r="FR118" s="296"/>
      <c r="FS118" s="296"/>
      <c r="FT118" s="296"/>
      <c r="FU118" s="296"/>
      <c r="FV118" s="296"/>
      <c r="FW118" s="296"/>
      <c r="FX118" s="296"/>
      <c r="FY118" s="296"/>
      <c r="FZ118" s="296"/>
      <c r="GA118" s="296"/>
      <c r="GB118" s="296"/>
      <c r="GC118" s="296"/>
      <c r="GD118" s="296"/>
      <c r="GE118" s="296"/>
      <c r="GF118" s="296"/>
      <c r="GG118" s="296"/>
      <c r="GH118" s="296"/>
      <c r="GI118" s="296"/>
      <c r="GJ118" s="296"/>
      <c r="GK118" s="296"/>
      <c r="GL118" s="296"/>
      <c r="GM118" s="296"/>
      <c r="GN118" s="296"/>
      <c r="GO118" s="296"/>
      <c r="GP118" s="296"/>
      <c r="GQ118" s="296"/>
      <c r="GR118" s="296"/>
      <c r="GS118" s="296"/>
      <c r="GT118" s="296"/>
      <c r="GU118" s="296"/>
      <c r="GV118" s="296"/>
      <c r="GW118" s="296"/>
      <c r="GX118" s="296"/>
      <c r="GY118" s="296"/>
      <c r="GZ118" s="296"/>
      <c r="HA118" s="296"/>
      <c r="HB118" s="296"/>
      <c r="HC118" s="296"/>
      <c r="HD118" s="296"/>
      <c r="HE118" s="296"/>
      <c r="HF118" s="296"/>
      <c r="HG118" s="296"/>
      <c r="HH118" s="296"/>
      <c r="HI118" s="296"/>
      <c r="HJ118" s="296"/>
      <c r="HK118" s="296"/>
      <c r="HL118" s="296"/>
      <c r="HM118" s="296"/>
      <c r="HN118" s="296"/>
      <c r="HO118" s="296"/>
      <c r="HP118" s="296"/>
      <c r="HQ118" s="296"/>
      <c r="HR118" s="296"/>
      <c r="HS118" s="296"/>
      <c r="HT118" s="296"/>
      <c r="HU118" s="296"/>
      <c r="HV118" s="296"/>
      <c r="HW118" s="296"/>
      <c r="HX118" s="296"/>
      <c r="HY118" s="296"/>
      <c r="HZ118" s="296"/>
      <c r="IA118" s="296"/>
      <c r="IB118" s="296"/>
      <c r="IC118" s="296"/>
      <c r="ID118" s="296"/>
      <c r="IE118" s="296"/>
      <c r="IF118" s="296"/>
      <c r="IG118" s="296"/>
      <c r="IH118" s="296"/>
      <c r="II118" s="296"/>
      <c r="IJ118" s="296"/>
      <c r="IK118" s="296"/>
      <c r="IL118" s="296"/>
      <c r="IM118" s="296"/>
      <c r="IN118" s="296"/>
      <c r="IO118" s="296"/>
      <c r="IP118" s="296"/>
      <c r="IQ118" s="296"/>
      <c r="IR118" s="296"/>
      <c r="IS118" s="296"/>
      <c r="IT118" s="296"/>
      <c r="IU118" s="296"/>
      <c r="IV118" s="296"/>
    </row>
    <row r="119" spans="1:256" customFormat="1" ht="12.75" customHeight="1">
      <c r="A119" s="296"/>
      <c r="B119" s="296"/>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6"/>
      <c r="DD119" s="296"/>
      <c r="DE119" s="296"/>
      <c r="DF119" s="296"/>
      <c r="DG119" s="296"/>
      <c r="DH119" s="296"/>
      <c r="DI119" s="296"/>
      <c r="DJ119" s="296"/>
      <c r="DK119" s="296"/>
      <c r="DL119" s="296"/>
      <c r="DM119" s="296"/>
      <c r="DN119" s="296"/>
      <c r="DO119" s="296"/>
      <c r="DP119" s="296"/>
      <c r="DQ119" s="296"/>
      <c r="DR119" s="296"/>
      <c r="DS119" s="296"/>
      <c r="DT119" s="296"/>
      <c r="DU119" s="296"/>
      <c r="DV119" s="296"/>
      <c r="DW119" s="296"/>
      <c r="DX119" s="296"/>
      <c r="DY119" s="296"/>
      <c r="DZ119" s="296"/>
      <c r="EA119" s="296"/>
      <c r="EB119" s="296"/>
      <c r="EC119" s="296"/>
      <c r="ED119" s="296"/>
      <c r="EE119" s="296"/>
      <c r="EF119" s="296"/>
      <c r="EG119" s="296"/>
      <c r="EH119" s="296"/>
      <c r="EI119" s="296"/>
      <c r="EJ119" s="296"/>
      <c r="EK119" s="296"/>
      <c r="EL119" s="296"/>
      <c r="EM119" s="296"/>
      <c r="EN119" s="296"/>
      <c r="EO119" s="296"/>
      <c r="EP119" s="296"/>
      <c r="EQ119" s="296"/>
      <c r="ER119" s="296"/>
      <c r="ES119" s="296"/>
      <c r="ET119" s="296"/>
      <c r="EU119" s="296"/>
      <c r="EV119" s="296"/>
      <c r="EW119" s="296"/>
      <c r="EX119" s="296"/>
      <c r="EY119" s="296"/>
      <c r="EZ119" s="296"/>
      <c r="FA119" s="296"/>
      <c r="FB119" s="296"/>
      <c r="FC119" s="296"/>
      <c r="FD119" s="296"/>
      <c r="FE119" s="296"/>
      <c r="FF119" s="296"/>
      <c r="FG119" s="296"/>
      <c r="FH119" s="296"/>
      <c r="FI119" s="296"/>
      <c r="FJ119" s="296"/>
      <c r="FK119" s="296"/>
      <c r="FL119" s="296"/>
      <c r="FM119" s="296"/>
      <c r="FN119" s="296"/>
      <c r="FO119" s="296"/>
      <c r="FP119" s="296"/>
      <c r="FQ119" s="296"/>
      <c r="FR119" s="296"/>
      <c r="FS119" s="296"/>
      <c r="FT119" s="296"/>
      <c r="FU119" s="296"/>
      <c r="FV119" s="296"/>
      <c r="FW119" s="296"/>
      <c r="FX119" s="296"/>
      <c r="FY119" s="296"/>
      <c r="FZ119" s="296"/>
      <c r="GA119" s="296"/>
      <c r="GB119" s="296"/>
      <c r="GC119" s="296"/>
      <c r="GD119" s="296"/>
      <c r="GE119" s="296"/>
      <c r="GF119" s="296"/>
      <c r="GG119" s="296"/>
      <c r="GH119" s="296"/>
      <c r="GI119" s="296"/>
      <c r="GJ119" s="296"/>
      <c r="GK119" s="296"/>
      <c r="GL119" s="296"/>
      <c r="GM119" s="296"/>
      <c r="GN119" s="296"/>
      <c r="GO119" s="296"/>
      <c r="GP119" s="296"/>
      <c r="GQ119" s="296"/>
      <c r="GR119" s="296"/>
      <c r="GS119" s="296"/>
      <c r="GT119" s="296"/>
      <c r="GU119" s="296"/>
      <c r="GV119" s="296"/>
      <c r="GW119" s="296"/>
      <c r="GX119" s="296"/>
      <c r="GY119" s="296"/>
      <c r="GZ119" s="296"/>
      <c r="HA119" s="296"/>
      <c r="HB119" s="296"/>
      <c r="HC119" s="296"/>
      <c r="HD119" s="296"/>
      <c r="HE119" s="296"/>
      <c r="HF119" s="296"/>
      <c r="HG119" s="296"/>
      <c r="HH119" s="296"/>
      <c r="HI119" s="296"/>
      <c r="HJ119" s="296"/>
      <c r="HK119" s="296"/>
      <c r="HL119" s="296"/>
      <c r="HM119" s="296"/>
      <c r="HN119" s="296"/>
      <c r="HO119" s="296"/>
      <c r="HP119" s="296"/>
      <c r="HQ119" s="296"/>
      <c r="HR119" s="296"/>
      <c r="HS119" s="296"/>
      <c r="HT119" s="296"/>
      <c r="HU119" s="296"/>
      <c r="HV119" s="296"/>
      <c r="HW119" s="296"/>
      <c r="HX119" s="296"/>
      <c r="HY119" s="296"/>
      <c r="HZ119" s="296"/>
      <c r="IA119" s="296"/>
      <c r="IB119" s="296"/>
      <c r="IC119" s="296"/>
      <c r="ID119" s="296"/>
      <c r="IE119" s="296"/>
      <c r="IF119" s="296"/>
      <c r="IG119" s="296"/>
      <c r="IH119" s="296"/>
      <c r="II119" s="296"/>
      <c r="IJ119" s="296"/>
      <c r="IK119" s="296"/>
      <c r="IL119" s="296"/>
      <c r="IM119" s="296"/>
      <c r="IN119" s="296"/>
      <c r="IO119" s="296"/>
      <c r="IP119" s="296"/>
      <c r="IQ119" s="296"/>
      <c r="IR119" s="296"/>
      <c r="IS119" s="296"/>
      <c r="IT119" s="296"/>
      <c r="IU119" s="296"/>
      <c r="IV119" s="296"/>
    </row>
    <row r="120" spans="1:256" customFormat="1" ht="12.75" customHeight="1">
      <c r="A120" s="296"/>
      <c r="B120" s="296"/>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6"/>
      <c r="CY120" s="296"/>
      <c r="CZ120" s="296"/>
      <c r="DA120" s="296"/>
      <c r="DB120" s="296"/>
      <c r="DC120" s="296"/>
      <c r="DD120" s="296"/>
      <c r="DE120" s="296"/>
      <c r="DF120" s="296"/>
      <c r="DG120" s="296"/>
      <c r="DH120" s="296"/>
      <c r="DI120" s="296"/>
      <c r="DJ120" s="296"/>
      <c r="DK120" s="296"/>
      <c r="DL120" s="296"/>
      <c r="DM120" s="296"/>
      <c r="DN120" s="296"/>
      <c r="DO120" s="296"/>
      <c r="DP120" s="296"/>
      <c r="DQ120" s="296"/>
      <c r="DR120" s="296"/>
      <c r="DS120" s="296"/>
      <c r="DT120" s="296"/>
      <c r="DU120" s="296"/>
      <c r="DV120" s="296"/>
      <c r="DW120" s="296"/>
      <c r="DX120" s="296"/>
      <c r="DY120" s="296"/>
      <c r="DZ120" s="296"/>
      <c r="EA120" s="296"/>
      <c r="EB120" s="296"/>
      <c r="EC120" s="296"/>
      <c r="ED120" s="296"/>
      <c r="EE120" s="296"/>
      <c r="EF120" s="296"/>
      <c r="EG120" s="296"/>
      <c r="EH120" s="296"/>
      <c r="EI120" s="296"/>
      <c r="EJ120" s="296"/>
      <c r="EK120" s="296"/>
      <c r="EL120" s="296"/>
      <c r="EM120" s="296"/>
      <c r="EN120" s="296"/>
      <c r="EO120" s="296"/>
      <c r="EP120" s="296"/>
      <c r="EQ120" s="296"/>
      <c r="ER120" s="296"/>
      <c r="ES120" s="296"/>
      <c r="ET120" s="296"/>
      <c r="EU120" s="296"/>
      <c r="EV120" s="296"/>
      <c r="EW120" s="296"/>
      <c r="EX120" s="296"/>
      <c r="EY120" s="296"/>
      <c r="EZ120" s="296"/>
      <c r="FA120" s="296"/>
      <c r="FB120" s="296"/>
      <c r="FC120" s="296"/>
      <c r="FD120" s="296"/>
      <c r="FE120" s="296"/>
      <c r="FF120" s="296"/>
      <c r="FG120" s="296"/>
      <c r="FH120" s="296"/>
      <c r="FI120" s="296"/>
      <c r="FJ120" s="296"/>
      <c r="FK120" s="296"/>
      <c r="FL120" s="296"/>
      <c r="FM120" s="296"/>
      <c r="FN120" s="296"/>
      <c r="FO120" s="296"/>
      <c r="FP120" s="296"/>
      <c r="FQ120" s="296"/>
      <c r="FR120" s="296"/>
      <c r="FS120" s="296"/>
      <c r="FT120" s="296"/>
      <c r="FU120" s="296"/>
      <c r="FV120" s="296"/>
      <c r="FW120" s="296"/>
      <c r="FX120" s="296"/>
      <c r="FY120" s="296"/>
      <c r="FZ120" s="296"/>
      <c r="GA120" s="296"/>
      <c r="GB120" s="296"/>
      <c r="GC120" s="296"/>
      <c r="GD120" s="296"/>
      <c r="GE120" s="296"/>
      <c r="GF120" s="296"/>
      <c r="GG120" s="296"/>
      <c r="GH120" s="296"/>
      <c r="GI120" s="296"/>
      <c r="GJ120" s="296"/>
      <c r="GK120" s="296"/>
      <c r="GL120" s="296"/>
      <c r="GM120" s="296"/>
      <c r="GN120" s="296"/>
      <c r="GO120" s="296"/>
      <c r="GP120" s="296"/>
      <c r="GQ120" s="296"/>
      <c r="GR120" s="296"/>
      <c r="GS120" s="296"/>
      <c r="GT120" s="296"/>
      <c r="GU120" s="296"/>
      <c r="GV120" s="296"/>
      <c r="GW120" s="296"/>
      <c r="GX120" s="296"/>
      <c r="GY120" s="296"/>
      <c r="GZ120" s="296"/>
      <c r="HA120" s="296"/>
      <c r="HB120" s="296"/>
      <c r="HC120" s="296"/>
      <c r="HD120" s="296"/>
      <c r="HE120" s="296"/>
      <c r="HF120" s="296"/>
      <c r="HG120" s="296"/>
      <c r="HH120" s="296"/>
      <c r="HI120" s="296"/>
      <c r="HJ120" s="296"/>
      <c r="HK120" s="296"/>
      <c r="HL120" s="296"/>
      <c r="HM120" s="296"/>
      <c r="HN120" s="296"/>
      <c r="HO120" s="296"/>
      <c r="HP120" s="296"/>
      <c r="HQ120" s="296"/>
      <c r="HR120" s="296"/>
      <c r="HS120" s="296"/>
      <c r="HT120" s="296"/>
      <c r="HU120" s="296"/>
      <c r="HV120" s="296"/>
      <c r="HW120" s="296"/>
      <c r="HX120" s="296"/>
      <c r="HY120" s="296"/>
      <c r="HZ120" s="296"/>
      <c r="IA120" s="296"/>
      <c r="IB120" s="296"/>
      <c r="IC120" s="296"/>
      <c r="ID120" s="296"/>
      <c r="IE120" s="296"/>
      <c r="IF120" s="296"/>
      <c r="IG120" s="296"/>
      <c r="IH120" s="296"/>
      <c r="II120" s="296"/>
      <c r="IJ120" s="296"/>
      <c r="IK120" s="296"/>
      <c r="IL120" s="296"/>
      <c r="IM120" s="296"/>
      <c r="IN120" s="296"/>
      <c r="IO120" s="296"/>
      <c r="IP120" s="296"/>
      <c r="IQ120" s="296"/>
      <c r="IR120" s="296"/>
      <c r="IS120" s="296"/>
      <c r="IT120" s="296"/>
      <c r="IU120" s="296"/>
      <c r="IV120" s="296"/>
    </row>
    <row r="121" spans="1:256" customFormat="1" ht="12.75" customHeight="1">
      <c r="A121" s="296"/>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6"/>
      <c r="DD121" s="296"/>
      <c r="DE121" s="296"/>
      <c r="DF121" s="296"/>
      <c r="DG121" s="296"/>
      <c r="DH121" s="296"/>
      <c r="DI121" s="296"/>
      <c r="DJ121" s="296"/>
      <c r="DK121" s="296"/>
      <c r="DL121" s="296"/>
      <c r="DM121" s="296"/>
      <c r="DN121" s="296"/>
      <c r="DO121" s="296"/>
      <c r="DP121" s="296"/>
      <c r="DQ121" s="296"/>
      <c r="DR121" s="296"/>
      <c r="DS121" s="296"/>
      <c r="DT121" s="296"/>
      <c r="DU121" s="296"/>
      <c r="DV121" s="296"/>
      <c r="DW121" s="296"/>
      <c r="DX121" s="296"/>
      <c r="DY121" s="296"/>
      <c r="DZ121" s="296"/>
      <c r="EA121" s="296"/>
      <c r="EB121" s="296"/>
      <c r="EC121" s="296"/>
      <c r="ED121" s="296"/>
      <c r="EE121" s="296"/>
      <c r="EF121" s="296"/>
      <c r="EG121" s="296"/>
      <c r="EH121" s="296"/>
      <c r="EI121" s="296"/>
      <c r="EJ121" s="296"/>
      <c r="EK121" s="296"/>
      <c r="EL121" s="296"/>
      <c r="EM121" s="296"/>
      <c r="EN121" s="296"/>
      <c r="EO121" s="296"/>
      <c r="EP121" s="296"/>
      <c r="EQ121" s="296"/>
      <c r="ER121" s="296"/>
      <c r="ES121" s="296"/>
      <c r="ET121" s="296"/>
      <c r="EU121" s="296"/>
      <c r="EV121" s="296"/>
      <c r="EW121" s="296"/>
      <c r="EX121" s="296"/>
      <c r="EY121" s="296"/>
      <c r="EZ121" s="296"/>
      <c r="FA121" s="296"/>
      <c r="FB121" s="296"/>
      <c r="FC121" s="296"/>
      <c r="FD121" s="296"/>
      <c r="FE121" s="296"/>
      <c r="FF121" s="296"/>
      <c r="FG121" s="296"/>
      <c r="FH121" s="296"/>
      <c r="FI121" s="296"/>
      <c r="FJ121" s="296"/>
      <c r="FK121" s="296"/>
      <c r="FL121" s="296"/>
      <c r="FM121" s="296"/>
      <c r="FN121" s="296"/>
      <c r="FO121" s="296"/>
      <c r="FP121" s="296"/>
      <c r="FQ121" s="296"/>
      <c r="FR121" s="296"/>
      <c r="FS121" s="296"/>
      <c r="FT121" s="296"/>
      <c r="FU121" s="296"/>
      <c r="FV121" s="296"/>
      <c r="FW121" s="296"/>
      <c r="FX121" s="296"/>
      <c r="FY121" s="296"/>
      <c r="FZ121" s="296"/>
      <c r="GA121" s="296"/>
      <c r="GB121" s="296"/>
      <c r="GC121" s="296"/>
      <c r="GD121" s="296"/>
      <c r="GE121" s="296"/>
      <c r="GF121" s="296"/>
      <c r="GG121" s="296"/>
      <c r="GH121" s="296"/>
      <c r="GI121" s="296"/>
      <c r="GJ121" s="296"/>
      <c r="GK121" s="296"/>
      <c r="GL121" s="296"/>
      <c r="GM121" s="296"/>
      <c r="GN121" s="296"/>
      <c r="GO121" s="296"/>
      <c r="GP121" s="296"/>
      <c r="GQ121" s="296"/>
      <c r="GR121" s="296"/>
      <c r="GS121" s="296"/>
      <c r="GT121" s="296"/>
      <c r="GU121" s="296"/>
      <c r="GV121" s="296"/>
      <c r="GW121" s="296"/>
      <c r="GX121" s="296"/>
      <c r="GY121" s="296"/>
      <c r="GZ121" s="296"/>
      <c r="HA121" s="296"/>
      <c r="HB121" s="296"/>
      <c r="HC121" s="296"/>
      <c r="HD121" s="296"/>
      <c r="HE121" s="296"/>
      <c r="HF121" s="296"/>
      <c r="HG121" s="296"/>
      <c r="HH121" s="296"/>
      <c r="HI121" s="296"/>
      <c r="HJ121" s="296"/>
      <c r="HK121" s="296"/>
      <c r="HL121" s="296"/>
      <c r="HM121" s="296"/>
      <c r="HN121" s="296"/>
      <c r="HO121" s="296"/>
      <c r="HP121" s="296"/>
      <c r="HQ121" s="296"/>
      <c r="HR121" s="296"/>
      <c r="HS121" s="296"/>
      <c r="HT121" s="296"/>
      <c r="HU121" s="296"/>
      <c r="HV121" s="296"/>
      <c r="HW121" s="296"/>
      <c r="HX121" s="296"/>
      <c r="HY121" s="296"/>
      <c r="HZ121" s="296"/>
      <c r="IA121" s="296"/>
      <c r="IB121" s="296"/>
      <c r="IC121" s="296"/>
      <c r="ID121" s="296"/>
      <c r="IE121" s="296"/>
      <c r="IF121" s="296"/>
      <c r="IG121" s="296"/>
      <c r="IH121" s="296"/>
      <c r="II121" s="296"/>
      <c r="IJ121" s="296"/>
      <c r="IK121" s="296"/>
      <c r="IL121" s="296"/>
      <c r="IM121" s="296"/>
      <c r="IN121" s="296"/>
      <c r="IO121" s="296"/>
      <c r="IP121" s="296"/>
      <c r="IQ121" s="296"/>
      <c r="IR121" s="296"/>
      <c r="IS121" s="296"/>
      <c r="IT121" s="296"/>
      <c r="IU121" s="296"/>
      <c r="IV121" s="296"/>
    </row>
    <row r="122" spans="1:256" customFormat="1" ht="12.75" customHeight="1">
      <c r="A122" s="296"/>
      <c r="B122" s="296"/>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6"/>
      <c r="DD122" s="296"/>
      <c r="DE122" s="296"/>
      <c r="DF122" s="296"/>
      <c r="DG122" s="296"/>
      <c r="DH122" s="296"/>
      <c r="DI122" s="296"/>
      <c r="DJ122" s="296"/>
      <c r="DK122" s="296"/>
      <c r="DL122" s="296"/>
      <c r="DM122" s="296"/>
      <c r="DN122" s="296"/>
      <c r="DO122" s="296"/>
      <c r="DP122" s="296"/>
      <c r="DQ122" s="296"/>
      <c r="DR122" s="296"/>
      <c r="DS122" s="296"/>
      <c r="DT122" s="296"/>
      <c r="DU122" s="296"/>
      <c r="DV122" s="296"/>
      <c r="DW122" s="296"/>
      <c r="DX122" s="296"/>
      <c r="DY122" s="296"/>
      <c r="DZ122" s="296"/>
      <c r="EA122" s="296"/>
      <c r="EB122" s="296"/>
      <c r="EC122" s="296"/>
      <c r="ED122" s="296"/>
      <c r="EE122" s="296"/>
      <c r="EF122" s="296"/>
      <c r="EG122" s="296"/>
      <c r="EH122" s="296"/>
      <c r="EI122" s="296"/>
      <c r="EJ122" s="296"/>
      <c r="EK122" s="296"/>
      <c r="EL122" s="296"/>
      <c r="EM122" s="296"/>
      <c r="EN122" s="296"/>
      <c r="EO122" s="296"/>
      <c r="EP122" s="296"/>
      <c r="EQ122" s="296"/>
      <c r="ER122" s="296"/>
      <c r="ES122" s="296"/>
      <c r="ET122" s="296"/>
      <c r="EU122" s="296"/>
      <c r="EV122" s="296"/>
      <c r="EW122" s="296"/>
      <c r="EX122" s="296"/>
      <c r="EY122" s="296"/>
      <c r="EZ122" s="296"/>
      <c r="FA122" s="296"/>
      <c r="FB122" s="296"/>
      <c r="FC122" s="296"/>
      <c r="FD122" s="296"/>
      <c r="FE122" s="296"/>
      <c r="FF122" s="296"/>
      <c r="FG122" s="296"/>
      <c r="FH122" s="296"/>
      <c r="FI122" s="296"/>
      <c r="FJ122" s="296"/>
      <c r="FK122" s="296"/>
      <c r="FL122" s="296"/>
      <c r="FM122" s="296"/>
      <c r="FN122" s="296"/>
      <c r="FO122" s="296"/>
      <c r="FP122" s="296"/>
      <c r="FQ122" s="296"/>
      <c r="FR122" s="296"/>
      <c r="FS122" s="296"/>
      <c r="FT122" s="296"/>
      <c r="FU122" s="296"/>
      <c r="FV122" s="296"/>
      <c r="FW122" s="296"/>
      <c r="FX122" s="296"/>
      <c r="FY122" s="296"/>
      <c r="FZ122" s="296"/>
      <c r="GA122" s="296"/>
      <c r="GB122" s="296"/>
      <c r="GC122" s="296"/>
      <c r="GD122" s="296"/>
      <c r="GE122" s="296"/>
      <c r="GF122" s="296"/>
      <c r="GG122" s="296"/>
      <c r="GH122" s="296"/>
      <c r="GI122" s="296"/>
      <c r="GJ122" s="296"/>
      <c r="GK122" s="296"/>
      <c r="GL122" s="296"/>
      <c r="GM122" s="296"/>
      <c r="GN122" s="296"/>
      <c r="GO122" s="296"/>
      <c r="GP122" s="296"/>
      <c r="GQ122" s="296"/>
      <c r="GR122" s="296"/>
      <c r="GS122" s="296"/>
      <c r="GT122" s="296"/>
      <c r="GU122" s="296"/>
      <c r="GV122" s="296"/>
      <c r="GW122" s="296"/>
      <c r="GX122" s="296"/>
      <c r="GY122" s="296"/>
      <c r="GZ122" s="296"/>
      <c r="HA122" s="296"/>
      <c r="HB122" s="296"/>
      <c r="HC122" s="296"/>
      <c r="HD122" s="296"/>
      <c r="HE122" s="296"/>
      <c r="HF122" s="296"/>
      <c r="HG122" s="296"/>
      <c r="HH122" s="296"/>
      <c r="HI122" s="296"/>
      <c r="HJ122" s="296"/>
      <c r="HK122" s="296"/>
      <c r="HL122" s="296"/>
      <c r="HM122" s="296"/>
      <c r="HN122" s="296"/>
      <c r="HO122" s="296"/>
      <c r="HP122" s="296"/>
      <c r="HQ122" s="296"/>
      <c r="HR122" s="296"/>
      <c r="HS122" s="296"/>
      <c r="HT122" s="296"/>
      <c r="HU122" s="296"/>
      <c r="HV122" s="296"/>
      <c r="HW122" s="296"/>
      <c r="HX122" s="296"/>
      <c r="HY122" s="296"/>
      <c r="HZ122" s="296"/>
      <c r="IA122" s="296"/>
      <c r="IB122" s="296"/>
      <c r="IC122" s="296"/>
      <c r="ID122" s="296"/>
      <c r="IE122" s="296"/>
      <c r="IF122" s="296"/>
      <c r="IG122" s="296"/>
      <c r="IH122" s="296"/>
      <c r="II122" s="296"/>
      <c r="IJ122" s="296"/>
      <c r="IK122" s="296"/>
      <c r="IL122" s="296"/>
      <c r="IM122" s="296"/>
      <c r="IN122" s="296"/>
      <c r="IO122" s="296"/>
      <c r="IP122" s="296"/>
      <c r="IQ122" s="296"/>
      <c r="IR122" s="296"/>
      <c r="IS122" s="296"/>
      <c r="IT122" s="296"/>
      <c r="IU122" s="296"/>
      <c r="IV122" s="296"/>
    </row>
    <row r="123" spans="1:256" customFormat="1" ht="12.75" customHeight="1">
      <c r="A123" s="296"/>
      <c r="B123" s="296"/>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296"/>
      <c r="CB123" s="296"/>
      <c r="CC123" s="296"/>
      <c r="CD123" s="296"/>
      <c r="CE123" s="296"/>
      <c r="CF123" s="296"/>
      <c r="CG123" s="296"/>
      <c r="CH123" s="296"/>
      <c r="CI123" s="296"/>
      <c r="CJ123" s="296"/>
      <c r="CK123" s="296"/>
      <c r="CL123" s="296"/>
      <c r="CM123" s="296"/>
      <c r="CN123" s="296"/>
      <c r="CO123" s="296"/>
      <c r="CP123" s="296"/>
      <c r="CQ123" s="296"/>
      <c r="CR123" s="296"/>
      <c r="CS123" s="296"/>
      <c r="CT123" s="296"/>
      <c r="CU123" s="296"/>
      <c r="CV123" s="296"/>
      <c r="CW123" s="296"/>
      <c r="CX123" s="296"/>
      <c r="CY123" s="296"/>
      <c r="CZ123" s="296"/>
      <c r="DA123" s="296"/>
      <c r="DB123" s="296"/>
      <c r="DC123" s="296"/>
      <c r="DD123" s="296"/>
      <c r="DE123" s="296"/>
      <c r="DF123" s="296"/>
      <c r="DG123" s="296"/>
      <c r="DH123" s="296"/>
      <c r="DI123" s="296"/>
      <c r="DJ123" s="296"/>
      <c r="DK123" s="296"/>
      <c r="DL123" s="296"/>
      <c r="DM123" s="296"/>
      <c r="DN123" s="296"/>
      <c r="DO123" s="296"/>
      <c r="DP123" s="296"/>
      <c r="DQ123" s="296"/>
      <c r="DR123" s="296"/>
      <c r="DS123" s="296"/>
      <c r="DT123" s="296"/>
      <c r="DU123" s="296"/>
      <c r="DV123" s="296"/>
      <c r="DW123" s="296"/>
      <c r="DX123" s="296"/>
      <c r="DY123" s="296"/>
      <c r="DZ123" s="296"/>
      <c r="EA123" s="296"/>
      <c r="EB123" s="296"/>
      <c r="EC123" s="296"/>
      <c r="ED123" s="296"/>
      <c r="EE123" s="296"/>
      <c r="EF123" s="296"/>
      <c r="EG123" s="296"/>
      <c r="EH123" s="296"/>
      <c r="EI123" s="296"/>
      <c r="EJ123" s="296"/>
      <c r="EK123" s="296"/>
      <c r="EL123" s="296"/>
      <c r="EM123" s="296"/>
      <c r="EN123" s="296"/>
      <c r="EO123" s="296"/>
      <c r="EP123" s="296"/>
      <c r="EQ123" s="296"/>
      <c r="ER123" s="296"/>
      <c r="ES123" s="296"/>
      <c r="ET123" s="296"/>
      <c r="EU123" s="296"/>
      <c r="EV123" s="296"/>
      <c r="EW123" s="296"/>
      <c r="EX123" s="296"/>
      <c r="EY123" s="296"/>
      <c r="EZ123" s="296"/>
      <c r="FA123" s="296"/>
      <c r="FB123" s="296"/>
      <c r="FC123" s="296"/>
      <c r="FD123" s="296"/>
      <c r="FE123" s="296"/>
      <c r="FF123" s="296"/>
      <c r="FG123" s="296"/>
      <c r="FH123" s="296"/>
      <c r="FI123" s="296"/>
      <c r="FJ123" s="296"/>
      <c r="FK123" s="296"/>
      <c r="FL123" s="296"/>
      <c r="FM123" s="296"/>
      <c r="FN123" s="296"/>
      <c r="FO123" s="296"/>
      <c r="FP123" s="296"/>
      <c r="FQ123" s="296"/>
      <c r="FR123" s="296"/>
      <c r="FS123" s="296"/>
      <c r="FT123" s="296"/>
      <c r="FU123" s="296"/>
      <c r="FV123" s="296"/>
      <c r="FW123" s="296"/>
      <c r="FX123" s="296"/>
      <c r="FY123" s="296"/>
      <c r="FZ123" s="296"/>
      <c r="GA123" s="296"/>
      <c r="GB123" s="296"/>
      <c r="GC123" s="296"/>
      <c r="GD123" s="296"/>
      <c r="GE123" s="296"/>
      <c r="GF123" s="296"/>
      <c r="GG123" s="296"/>
      <c r="GH123" s="296"/>
      <c r="GI123" s="296"/>
      <c r="GJ123" s="296"/>
      <c r="GK123" s="296"/>
      <c r="GL123" s="296"/>
      <c r="GM123" s="296"/>
      <c r="GN123" s="296"/>
      <c r="GO123" s="296"/>
      <c r="GP123" s="296"/>
      <c r="GQ123" s="296"/>
      <c r="GR123" s="296"/>
      <c r="GS123" s="296"/>
      <c r="GT123" s="296"/>
      <c r="GU123" s="296"/>
      <c r="GV123" s="296"/>
      <c r="GW123" s="296"/>
      <c r="GX123" s="296"/>
      <c r="GY123" s="296"/>
      <c r="GZ123" s="296"/>
      <c r="HA123" s="296"/>
      <c r="HB123" s="296"/>
      <c r="HC123" s="296"/>
      <c r="HD123" s="296"/>
      <c r="HE123" s="296"/>
      <c r="HF123" s="296"/>
      <c r="HG123" s="296"/>
      <c r="HH123" s="296"/>
      <c r="HI123" s="296"/>
      <c r="HJ123" s="296"/>
      <c r="HK123" s="296"/>
      <c r="HL123" s="296"/>
      <c r="HM123" s="296"/>
      <c r="HN123" s="296"/>
      <c r="HO123" s="296"/>
      <c r="HP123" s="296"/>
      <c r="HQ123" s="296"/>
      <c r="HR123" s="296"/>
      <c r="HS123" s="296"/>
      <c r="HT123" s="296"/>
      <c r="HU123" s="296"/>
      <c r="HV123" s="296"/>
      <c r="HW123" s="296"/>
      <c r="HX123" s="296"/>
      <c r="HY123" s="296"/>
      <c r="HZ123" s="296"/>
      <c r="IA123" s="296"/>
      <c r="IB123" s="296"/>
      <c r="IC123" s="296"/>
      <c r="ID123" s="296"/>
      <c r="IE123" s="296"/>
      <c r="IF123" s="296"/>
      <c r="IG123" s="296"/>
      <c r="IH123" s="296"/>
      <c r="II123" s="296"/>
      <c r="IJ123" s="296"/>
      <c r="IK123" s="296"/>
      <c r="IL123" s="296"/>
      <c r="IM123" s="296"/>
      <c r="IN123" s="296"/>
      <c r="IO123" s="296"/>
      <c r="IP123" s="296"/>
      <c r="IQ123" s="296"/>
      <c r="IR123" s="296"/>
      <c r="IS123" s="296"/>
      <c r="IT123" s="296"/>
      <c r="IU123" s="296"/>
      <c r="IV123" s="296"/>
    </row>
    <row r="124" spans="1:256" customFormat="1" ht="12.75" customHeight="1">
      <c r="A124" s="296"/>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6"/>
      <c r="CN124" s="296"/>
      <c r="CO124" s="296"/>
      <c r="CP124" s="296"/>
      <c r="CQ124" s="296"/>
      <c r="CR124" s="296"/>
      <c r="CS124" s="296"/>
      <c r="CT124" s="296"/>
      <c r="CU124" s="296"/>
      <c r="CV124" s="296"/>
      <c r="CW124" s="296"/>
      <c r="CX124" s="296"/>
      <c r="CY124" s="296"/>
      <c r="CZ124" s="296"/>
      <c r="DA124" s="296"/>
      <c r="DB124" s="296"/>
      <c r="DC124" s="296"/>
      <c r="DD124" s="296"/>
      <c r="DE124" s="296"/>
      <c r="DF124" s="296"/>
      <c r="DG124" s="296"/>
      <c r="DH124" s="296"/>
      <c r="DI124" s="296"/>
      <c r="DJ124" s="296"/>
      <c r="DK124" s="296"/>
      <c r="DL124" s="296"/>
      <c r="DM124" s="296"/>
      <c r="DN124" s="296"/>
      <c r="DO124" s="296"/>
      <c r="DP124" s="296"/>
      <c r="DQ124" s="296"/>
      <c r="DR124" s="296"/>
      <c r="DS124" s="296"/>
      <c r="DT124" s="296"/>
      <c r="DU124" s="296"/>
      <c r="DV124" s="296"/>
      <c r="DW124" s="296"/>
      <c r="DX124" s="296"/>
      <c r="DY124" s="296"/>
      <c r="DZ124" s="296"/>
      <c r="EA124" s="296"/>
      <c r="EB124" s="296"/>
      <c r="EC124" s="296"/>
      <c r="ED124" s="296"/>
      <c r="EE124" s="296"/>
      <c r="EF124" s="296"/>
      <c r="EG124" s="296"/>
      <c r="EH124" s="296"/>
      <c r="EI124" s="296"/>
      <c r="EJ124" s="296"/>
      <c r="EK124" s="296"/>
      <c r="EL124" s="296"/>
      <c r="EM124" s="296"/>
      <c r="EN124" s="296"/>
      <c r="EO124" s="296"/>
      <c r="EP124" s="296"/>
      <c r="EQ124" s="296"/>
      <c r="ER124" s="296"/>
      <c r="ES124" s="296"/>
      <c r="ET124" s="296"/>
      <c r="EU124" s="296"/>
      <c r="EV124" s="296"/>
      <c r="EW124" s="296"/>
      <c r="EX124" s="296"/>
      <c r="EY124" s="296"/>
      <c r="EZ124" s="296"/>
      <c r="FA124" s="296"/>
      <c r="FB124" s="296"/>
      <c r="FC124" s="296"/>
      <c r="FD124" s="296"/>
      <c r="FE124" s="296"/>
      <c r="FF124" s="296"/>
      <c r="FG124" s="296"/>
      <c r="FH124" s="296"/>
      <c r="FI124" s="296"/>
      <c r="FJ124" s="296"/>
      <c r="FK124" s="296"/>
      <c r="FL124" s="296"/>
      <c r="FM124" s="296"/>
      <c r="FN124" s="296"/>
      <c r="FO124" s="296"/>
      <c r="FP124" s="296"/>
      <c r="FQ124" s="296"/>
      <c r="FR124" s="296"/>
      <c r="FS124" s="296"/>
      <c r="FT124" s="296"/>
      <c r="FU124" s="296"/>
      <c r="FV124" s="296"/>
      <c r="FW124" s="296"/>
      <c r="FX124" s="296"/>
      <c r="FY124" s="296"/>
      <c r="FZ124" s="296"/>
      <c r="GA124" s="296"/>
      <c r="GB124" s="296"/>
      <c r="GC124" s="296"/>
      <c r="GD124" s="296"/>
      <c r="GE124" s="296"/>
      <c r="GF124" s="296"/>
      <c r="GG124" s="296"/>
      <c r="GH124" s="296"/>
      <c r="GI124" s="296"/>
      <c r="GJ124" s="296"/>
      <c r="GK124" s="296"/>
      <c r="GL124" s="296"/>
      <c r="GM124" s="296"/>
      <c r="GN124" s="296"/>
      <c r="GO124" s="296"/>
      <c r="GP124" s="296"/>
      <c r="GQ124" s="296"/>
      <c r="GR124" s="296"/>
      <c r="GS124" s="296"/>
      <c r="GT124" s="296"/>
      <c r="GU124" s="296"/>
      <c r="GV124" s="296"/>
      <c r="GW124" s="296"/>
      <c r="GX124" s="296"/>
      <c r="GY124" s="296"/>
      <c r="GZ124" s="296"/>
      <c r="HA124" s="296"/>
      <c r="HB124" s="296"/>
      <c r="HC124" s="296"/>
      <c r="HD124" s="296"/>
      <c r="HE124" s="296"/>
      <c r="HF124" s="296"/>
      <c r="HG124" s="296"/>
      <c r="HH124" s="296"/>
      <c r="HI124" s="296"/>
      <c r="HJ124" s="296"/>
      <c r="HK124" s="296"/>
      <c r="HL124" s="296"/>
      <c r="HM124" s="296"/>
      <c r="HN124" s="296"/>
      <c r="HO124" s="296"/>
      <c r="HP124" s="296"/>
      <c r="HQ124" s="296"/>
      <c r="HR124" s="296"/>
      <c r="HS124" s="296"/>
      <c r="HT124" s="296"/>
      <c r="HU124" s="296"/>
      <c r="HV124" s="296"/>
      <c r="HW124" s="296"/>
      <c r="HX124" s="296"/>
      <c r="HY124" s="296"/>
      <c r="HZ124" s="296"/>
      <c r="IA124" s="296"/>
      <c r="IB124" s="296"/>
      <c r="IC124" s="296"/>
      <c r="ID124" s="296"/>
      <c r="IE124" s="296"/>
      <c r="IF124" s="296"/>
      <c r="IG124" s="296"/>
      <c r="IH124" s="296"/>
      <c r="II124" s="296"/>
      <c r="IJ124" s="296"/>
      <c r="IK124" s="296"/>
      <c r="IL124" s="296"/>
      <c r="IM124" s="296"/>
      <c r="IN124" s="296"/>
      <c r="IO124" s="296"/>
      <c r="IP124" s="296"/>
      <c r="IQ124" s="296"/>
      <c r="IR124" s="296"/>
      <c r="IS124" s="296"/>
      <c r="IT124" s="296"/>
      <c r="IU124" s="296"/>
      <c r="IV124" s="296"/>
    </row>
    <row r="125" spans="1:256" customFormat="1" ht="12.75" customHeight="1">
      <c r="A125" s="296"/>
      <c r="B125" s="296"/>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6"/>
      <c r="CN125" s="296"/>
      <c r="CO125" s="296"/>
      <c r="CP125" s="296"/>
      <c r="CQ125" s="296"/>
      <c r="CR125" s="296"/>
      <c r="CS125" s="296"/>
      <c r="CT125" s="296"/>
      <c r="CU125" s="296"/>
      <c r="CV125" s="296"/>
      <c r="CW125" s="296"/>
      <c r="CX125" s="296"/>
      <c r="CY125" s="296"/>
      <c r="CZ125" s="296"/>
      <c r="DA125" s="296"/>
      <c r="DB125" s="296"/>
      <c r="DC125" s="296"/>
      <c r="DD125" s="296"/>
      <c r="DE125" s="296"/>
      <c r="DF125" s="296"/>
      <c r="DG125" s="296"/>
      <c r="DH125" s="296"/>
      <c r="DI125" s="296"/>
      <c r="DJ125" s="296"/>
      <c r="DK125" s="296"/>
      <c r="DL125" s="296"/>
      <c r="DM125" s="296"/>
      <c r="DN125" s="296"/>
      <c r="DO125" s="296"/>
      <c r="DP125" s="296"/>
      <c r="DQ125" s="296"/>
      <c r="DR125" s="296"/>
      <c r="DS125" s="296"/>
      <c r="DT125" s="296"/>
      <c r="DU125" s="296"/>
      <c r="DV125" s="296"/>
      <c r="DW125" s="296"/>
      <c r="DX125" s="296"/>
      <c r="DY125" s="296"/>
      <c r="DZ125" s="296"/>
      <c r="EA125" s="296"/>
      <c r="EB125" s="296"/>
      <c r="EC125" s="296"/>
      <c r="ED125" s="296"/>
      <c r="EE125" s="296"/>
      <c r="EF125" s="296"/>
      <c r="EG125" s="296"/>
      <c r="EH125" s="296"/>
      <c r="EI125" s="296"/>
      <c r="EJ125" s="296"/>
      <c r="EK125" s="296"/>
      <c r="EL125" s="296"/>
      <c r="EM125" s="296"/>
      <c r="EN125" s="296"/>
      <c r="EO125" s="296"/>
      <c r="EP125" s="296"/>
      <c r="EQ125" s="296"/>
      <c r="ER125" s="296"/>
      <c r="ES125" s="296"/>
      <c r="ET125" s="296"/>
      <c r="EU125" s="296"/>
      <c r="EV125" s="296"/>
      <c r="EW125" s="296"/>
      <c r="EX125" s="296"/>
      <c r="EY125" s="296"/>
      <c r="EZ125" s="296"/>
      <c r="FA125" s="296"/>
      <c r="FB125" s="296"/>
      <c r="FC125" s="296"/>
      <c r="FD125" s="296"/>
      <c r="FE125" s="296"/>
      <c r="FF125" s="296"/>
      <c r="FG125" s="296"/>
      <c r="FH125" s="296"/>
      <c r="FI125" s="296"/>
      <c r="FJ125" s="296"/>
      <c r="FK125" s="296"/>
      <c r="FL125" s="296"/>
      <c r="FM125" s="296"/>
      <c r="FN125" s="296"/>
      <c r="FO125" s="296"/>
      <c r="FP125" s="296"/>
      <c r="FQ125" s="296"/>
      <c r="FR125" s="296"/>
      <c r="FS125" s="296"/>
      <c r="FT125" s="296"/>
      <c r="FU125" s="296"/>
      <c r="FV125" s="296"/>
      <c r="FW125" s="296"/>
      <c r="FX125" s="296"/>
      <c r="FY125" s="296"/>
      <c r="FZ125" s="296"/>
      <c r="GA125" s="296"/>
      <c r="GB125" s="296"/>
      <c r="GC125" s="296"/>
      <c r="GD125" s="296"/>
      <c r="GE125" s="296"/>
      <c r="GF125" s="296"/>
      <c r="GG125" s="296"/>
      <c r="GH125" s="296"/>
      <c r="GI125" s="296"/>
      <c r="GJ125" s="296"/>
      <c r="GK125" s="296"/>
      <c r="GL125" s="296"/>
      <c r="GM125" s="296"/>
      <c r="GN125" s="296"/>
      <c r="GO125" s="296"/>
      <c r="GP125" s="296"/>
      <c r="GQ125" s="296"/>
      <c r="GR125" s="296"/>
      <c r="GS125" s="296"/>
      <c r="GT125" s="296"/>
      <c r="GU125" s="296"/>
      <c r="GV125" s="296"/>
      <c r="GW125" s="296"/>
      <c r="GX125" s="296"/>
      <c r="GY125" s="296"/>
      <c r="GZ125" s="296"/>
      <c r="HA125" s="296"/>
      <c r="HB125" s="296"/>
      <c r="HC125" s="296"/>
      <c r="HD125" s="296"/>
      <c r="HE125" s="296"/>
      <c r="HF125" s="296"/>
      <c r="HG125" s="296"/>
      <c r="HH125" s="296"/>
      <c r="HI125" s="296"/>
      <c r="HJ125" s="296"/>
      <c r="HK125" s="296"/>
      <c r="HL125" s="296"/>
      <c r="HM125" s="296"/>
      <c r="HN125" s="296"/>
      <c r="HO125" s="296"/>
      <c r="HP125" s="296"/>
      <c r="HQ125" s="296"/>
      <c r="HR125" s="296"/>
      <c r="HS125" s="296"/>
      <c r="HT125" s="296"/>
      <c r="HU125" s="296"/>
      <c r="HV125" s="296"/>
      <c r="HW125" s="296"/>
      <c r="HX125" s="296"/>
      <c r="HY125" s="296"/>
      <c r="HZ125" s="296"/>
      <c r="IA125" s="296"/>
      <c r="IB125" s="296"/>
      <c r="IC125" s="296"/>
      <c r="ID125" s="296"/>
      <c r="IE125" s="296"/>
      <c r="IF125" s="296"/>
      <c r="IG125" s="296"/>
      <c r="IH125" s="296"/>
      <c r="II125" s="296"/>
      <c r="IJ125" s="296"/>
      <c r="IK125" s="296"/>
      <c r="IL125" s="296"/>
      <c r="IM125" s="296"/>
      <c r="IN125" s="296"/>
      <c r="IO125" s="296"/>
      <c r="IP125" s="296"/>
      <c r="IQ125" s="296"/>
      <c r="IR125" s="296"/>
      <c r="IS125" s="296"/>
      <c r="IT125" s="296"/>
      <c r="IU125" s="296"/>
      <c r="IV125" s="296"/>
    </row>
    <row r="126" spans="1:256" customFormat="1" ht="12.75" customHeight="1">
      <c r="A126" s="296"/>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6"/>
      <c r="CN126" s="296"/>
      <c r="CO126" s="296"/>
      <c r="CP126" s="296"/>
      <c r="CQ126" s="296"/>
      <c r="CR126" s="296"/>
      <c r="CS126" s="296"/>
      <c r="CT126" s="296"/>
      <c r="CU126" s="296"/>
      <c r="CV126" s="296"/>
      <c r="CW126" s="296"/>
      <c r="CX126" s="296"/>
      <c r="CY126" s="296"/>
      <c r="CZ126" s="296"/>
      <c r="DA126" s="296"/>
      <c r="DB126" s="296"/>
      <c r="DC126" s="296"/>
      <c r="DD126" s="296"/>
      <c r="DE126" s="296"/>
      <c r="DF126" s="296"/>
      <c r="DG126" s="296"/>
      <c r="DH126" s="296"/>
      <c r="DI126" s="296"/>
      <c r="DJ126" s="296"/>
      <c r="DK126" s="296"/>
      <c r="DL126" s="296"/>
      <c r="DM126" s="296"/>
      <c r="DN126" s="296"/>
      <c r="DO126" s="296"/>
      <c r="DP126" s="296"/>
      <c r="DQ126" s="296"/>
      <c r="DR126" s="296"/>
      <c r="DS126" s="296"/>
      <c r="DT126" s="296"/>
      <c r="DU126" s="296"/>
      <c r="DV126" s="296"/>
      <c r="DW126" s="296"/>
      <c r="DX126" s="296"/>
      <c r="DY126" s="296"/>
      <c r="DZ126" s="296"/>
      <c r="EA126" s="296"/>
      <c r="EB126" s="296"/>
      <c r="EC126" s="296"/>
      <c r="ED126" s="296"/>
      <c r="EE126" s="296"/>
      <c r="EF126" s="296"/>
      <c r="EG126" s="296"/>
      <c r="EH126" s="296"/>
      <c r="EI126" s="296"/>
      <c r="EJ126" s="296"/>
      <c r="EK126" s="296"/>
      <c r="EL126" s="296"/>
      <c r="EM126" s="296"/>
      <c r="EN126" s="296"/>
      <c r="EO126" s="296"/>
      <c r="EP126" s="296"/>
      <c r="EQ126" s="296"/>
      <c r="ER126" s="296"/>
      <c r="ES126" s="296"/>
      <c r="ET126" s="296"/>
      <c r="EU126" s="296"/>
      <c r="EV126" s="296"/>
      <c r="EW126" s="296"/>
      <c r="EX126" s="296"/>
      <c r="EY126" s="296"/>
      <c r="EZ126" s="296"/>
      <c r="FA126" s="296"/>
      <c r="FB126" s="296"/>
      <c r="FC126" s="296"/>
      <c r="FD126" s="296"/>
      <c r="FE126" s="296"/>
      <c r="FF126" s="296"/>
      <c r="FG126" s="296"/>
      <c r="FH126" s="296"/>
      <c r="FI126" s="296"/>
      <c r="FJ126" s="296"/>
      <c r="FK126" s="296"/>
      <c r="FL126" s="296"/>
      <c r="FM126" s="296"/>
      <c r="FN126" s="296"/>
      <c r="FO126" s="296"/>
      <c r="FP126" s="296"/>
      <c r="FQ126" s="296"/>
      <c r="FR126" s="296"/>
      <c r="FS126" s="296"/>
      <c r="FT126" s="296"/>
      <c r="FU126" s="296"/>
      <c r="FV126" s="296"/>
      <c r="FW126" s="296"/>
      <c r="FX126" s="296"/>
      <c r="FY126" s="296"/>
      <c r="FZ126" s="296"/>
      <c r="GA126" s="296"/>
      <c r="GB126" s="296"/>
      <c r="GC126" s="296"/>
      <c r="GD126" s="296"/>
      <c r="GE126" s="296"/>
      <c r="GF126" s="296"/>
      <c r="GG126" s="296"/>
      <c r="GH126" s="296"/>
      <c r="GI126" s="296"/>
      <c r="GJ126" s="296"/>
      <c r="GK126" s="296"/>
      <c r="GL126" s="296"/>
      <c r="GM126" s="296"/>
      <c r="GN126" s="296"/>
      <c r="GO126" s="296"/>
      <c r="GP126" s="296"/>
      <c r="GQ126" s="296"/>
      <c r="GR126" s="296"/>
      <c r="GS126" s="296"/>
      <c r="GT126" s="296"/>
      <c r="GU126" s="296"/>
      <c r="GV126" s="296"/>
      <c r="GW126" s="296"/>
      <c r="GX126" s="296"/>
      <c r="GY126" s="296"/>
      <c r="GZ126" s="296"/>
      <c r="HA126" s="296"/>
      <c r="HB126" s="296"/>
      <c r="HC126" s="296"/>
      <c r="HD126" s="296"/>
      <c r="HE126" s="296"/>
      <c r="HF126" s="296"/>
      <c r="HG126" s="296"/>
      <c r="HH126" s="296"/>
      <c r="HI126" s="296"/>
      <c r="HJ126" s="296"/>
      <c r="HK126" s="296"/>
      <c r="HL126" s="296"/>
      <c r="HM126" s="296"/>
      <c r="HN126" s="296"/>
      <c r="HO126" s="296"/>
      <c r="HP126" s="296"/>
      <c r="HQ126" s="296"/>
      <c r="HR126" s="296"/>
      <c r="HS126" s="296"/>
      <c r="HT126" s="296"/>
      <c r="HU126" s="296"/>
      <c r="HV126" s="296"/>
      <c r="HW126" s="296"/>
      <c r="HX126" s="296"/>
      <c r="HY126" s="296"/>
      <c r="HZ126" s="296"/>
      <c r="IA126" s="296"/>
      <c r="IB126" s="296"/>
      <c r="IC126" s="296"/>
      <c r="ID126" s="296"/>
      <c r="IE126" s="296"/>
      <c r="IF126" s="296"/>
      <c r="IG126" s="296"/>
      <c r="IH126" s="296"/>
      <c r="II126" s="296"/>
      <c r="IJ126" s="296"/>
      <c r="IK126" s="296"/>
      <c r="IL126" s="296"/>
      <c r="IM126" s="296"/>
      <c r="IN126" s="296"/>
      <c r="IO126" s="296"/>
      <c r="IP126" s="296"/>
      <c r="IQ126" s="296"/>
      <c r="IR126" s="296"/>
      <c r="IS126" s="296"/>
      <c r="IT126" s="296"/>
      <c r="IU126" s="296"/>
      <c r="IV126" s="296"/>
    </row>
    <row r="127" spans="1:256" customFormat="1" ht="12.75" customHeight="1">
      <c r="A127" s="296"/>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6"/>
      <c r="CN127" s="296"/>
      <c r="CO127" s="296"/>
      <c r="CP127" s="296"/>
      <c r="CQ127" s="296"/>
      <c r="CR127" s="296"/>
      <c r="CS127" s="296"/>
      <c r="CT127" s="296"/>
      <c r="CU127" s="296"/>
      <c r="CV127" s="296"/>
      <c r="CW127" s="296"/>
      <c r="CX127" s="296"/>
      <c r="CY127" s="296"/>
      <c r="CZ127" s="296"/>
      <c r="DA127" s="296"/>
      <c r="DB127" s="296"/>
      <c r="DC127" s="296"/>
      <c r="DD127" s="296"/>
      <c r="DE127" s="296"/>
      <c r="DF127" s="296"/>
      <c r="DG127" s="296"/>
      <c r="DH127" s="296"/>
      <c r="DI127" s="296"/>
      <c r="DJ127" s="296"/>
      <c r="DK127" s="296"/>
      <c r="DL127" s="296"/>
      <c r="DM127" s="296"/>
      <c r="DN127" s="296"/>
      <c r="DO127" s="296"/>
      <c r="DP127" s="296"/>
      <c r="DQ127" s="296"/>
      <c r="DR127" s="296"/>
      <c r="DS127" s="296"/>
      <c r="DT127" s="296"/>
      <c r="DU127" s="296"/>
      <c r="DV127" s="296"/>
      <c r="DW127" s="296"/>
      <c r="DX127" s="296"/>
      <c r="DY127" s="296"/>
      <c r="DZ127" s="296"/>
      <c r="EA127" s="296"/>
      <c r="EB127" s="296"/>
      <c r="EC127" s="296"/>
      <c r="ED127" s="296"/>
      <c r="EE127" s="296"/>
      <c r="EF127" s="296"/>
      <c r="EG127" s="296"/>
      <c r="EH127" s="296"/>
      <c r="EI127" s="296"/>
      <c r="EJ127" s="296"/>
      <c r="EK127" s="296"/>
      <c r="EL127" s="296"/>
      <c r="EM127" s="296"/>
      <c r="EN127" s="296"/>
      <c r="EO127" s="296"/>
      <c r="EP127" s="296"/>
      <c r="EQ127" s="296"/>
      <c r="ER127" s="296"/>
      <c r="ES127" s="296"/>
      <c r="ET127" s="296"/>
      <c r="EU127" s="296"/>
      <c r="EV127" s="296"/>
      <c r="EW127" s="296"/>
      <c r="EX127" s="296"/>
      <c r="EY127" s="296"/>
      <c r="EZ127" s="296"/>
      <c r="FA127" s="296"/>
      <c r="FB127" s="296"/>
      <c r="FC127" s="296"/>
      <c r="FD127" s="296"/>
      <c r="FE127" s="296"/>
      <c r="FF127" s="296"/>
      <c r="FG127" s="296"/>
      <c r="FH127" s="296"/>
      <c r="FI127" s="296"/>
      <c r="FJ127" s="296"/>
      <c r="FK127" s="296"/>
      <c r="FL127" s="296"/>
      <c r="FM127" s="296"/>
      <c r="FN127" s="296"/>
      <c r="FO127" s="296"/>
      <c r="FP127" s="296"/>
      <c r="FQ127" s="296"/>
      <c r="FR127" s="296"/>
      <c r="FS127" s="296"/>
      <c r="FT127" s="296"/>
      <c r="FU127" s="296"/>
      <c r="FV127" s="296"/>
      <c r="FW127" s="296"/>
      <c r="FX127" s="296"/>
      <c r="FY127" s="296"/>
      <c r="FZ127" s="296"/>
      <c r="GA127" s="296"/>
      <c r="GB127" s="296"/>
      <c r="GC127" s="296"/>
      <c r="GD127" s="296"/>
      <c r="GE127" s="296"/>
      <c r="GF127" s="296"/>
      <c r="GG127" s="296"/>
      <c r="GH127" s="296"/>
      <c r="GI127" s="296"/>
      <c r="GJ127" s="296"/>
      <c r="GK127" s="296"/>
      <c r="GL127" s="296"/>
      <c r="GM127" s="296"/>
      <c r="GN127" s="296"/>
      <c r="GO127" s="296"/>
      <c r="GP127" s="296"/>
      <c r="GQ127" s="296"/>
      <c r="GR127" s="296"/>
      <c r="GS127" s="296"/>
      <c r="GT127" s="296"/>
      <c r="GU127" s="296"/>
      <c r="GV127" s="296"/>
      <c r="GW127" s="296"/>
      <c r="GX127" s="296"/>
      <c r="GY127" s="296"/>
      <c r="GZ127" s="296"/>
      <c r="HA127" s="296"/>
      <c r="HB127" s="296"/>
      <c r="HC127" s="296"/>
      <c r="HD127" s="296"/>
      <c r="HE127" s="296"/>
      <c r="HF127" s="296"/>
      <c r="HG127" s="296"/>
      <c r="HH127" s="296"/>
      <c r="HI127" s="296"/>
      <c r="HJ127" s="296"/>
      <c r="HK127" s="296"/>
      <c r="HL127" s="296"/>
      <c r="HM127" s="296"/>
      <c r="HN127" s="296"/>
      <c r="HO127" s="296"/>
      <c r="HP127" s="296"/>
      <c r="HQ127" s="296"/>
      <c r="HR127" s="296"/>
      <c r="HS127" s="296"/>
      <c r="HT127" s="296"/>
      <c r="HU127" s="296"/>
      <c r="HV127" s="296"/>
      <c r="HW127" s="296"/>
      <c r="HX127" s="296"/>
      <c r="HY127" s="296"/>
      <c r="HZ127" s="296"/>
      <c r="IA127" s="296"/>
      <c r="IB127" s="296"/>
      <c r="IC127" s="296"/>
      <c r="ID127" s="296"/>
      <c r="IE127" s="296"/>
      <c r="IF127" s="296"/>
      <c r="IG127" s="296"/>
      <c r="IH127" s="296"/>
      <c r="II127" s="296"/>
      <c r="IJ127" s="296"/>
      <c r="IK127" s="296"/>
      <c r="IL127" s="296"/>
      <c r="IM127" s="296"/>
      <c r="IN127" s="296"/>
      <c r="IO127" s="296"/>
      <c r="IP127" s="296"/>
      <c r="IQ127" s="296"/>
      <c r="IR127" s="296"/>
      <c r="IS127" s="296"/>
      <c r="IT127" s="296"/>
      <c r="IU127" s="296"/>
      <c r="IV127" s="296"/>
    </row>
    <row r="128" spans="1:256" customFormat="1" ht="12.75" customHeight="1">
      <c r="A128" s="296"/>
      <c r="B128" s="296"/>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6"/>
      <c r="CN128" s="296"/>
      <c r="CO128" s="296"/>
      <c r="CP128" s="296"/>
      <c r="CQ128" s="296"/>
      <c r="CR128" s="296"/>
      <c r="CS128" s="296"/>
      <c r="CT128" s="296"/>
      <c r="CU128" s="296"/>
      <c r="CV128" s="296"/>
      <c r="CW128" s="296"/>
      <c r="CX128" s="296"/>
      <c r="CY128" s="296"/>
      <c r="CZ128" s="296"/>
      <c r="DA128" s="296"/>
      <c r="DB128" s="296"/>
      <c r="DC128" s="296"/>
      <c r="DD128" s="296"/>
      <c r="DE128" s="296"/>
      <c r="DF128" s="296"/>
      <c r="DG128" s="296"/>
      <c r="DH128" s="296"/>
      <c r="DI128" s="296"/>
      <c r="DJ128" s="296"/>
      <c r="DK128" s="296"/>
      <c r="DL128" s="296"/>
      <c r="DM128" s="296"/>
      <c r="DN128" s="296"/>
      <c r="DO128" s="296"/>
      <c r="DP128" s="296"/>
      <c r="DQ128" s="296"/>
      <c r="DR128" s="296"/>
      <c r="DS128" s="296"/>
      <c r="DT128" s="296"/>
      <c r="DU128" s="296"/>
      <c r="DV128" s="296"/>
      <c r="DW128" s="296"/>
      <c r="DX128" s="296"/>
      <c r="DY128" s="296"/>
      <c r="DZ128" s="296"/>
      <c r="EA128" s="296"/>
      <c r="EB128" s="296"/>
      <c r="EC128" s="296"/>
      <c r="ED128" s="296"/>
      <c r="EE128" s="296"/>
      <c r="EF128" s="296"/>
      <c r="EG128" s="296"/>
      <c r="EH128" s="296"/>
      <c r="EI128" s="296"/>
      <c r="EJ128" s="296"/>
      <c r="EK128" s="296"/>
      <c r="EL128" s="296"/>
      <c r="EM128" s="296"/>
      <c r="EN128" s="296"/>
      <c r="EO128" s="296"/>
      <c r="EP128" s="296"/>
      <c r="EQ128" s="296"/>
      <c r="ER128" s="296"/>
      <c r="ES128" s="296"/>
      <c r="ET128" s="296"/>
      <c r="EU128" s="296"/>
      <c r="EV128" s="296"/>
      <c r="EW128" s="296"/>
      <c r="EX128" s="296"/>
      <c r="EY128" s="296"/>
      <c r="EZ128" s="296"/>
      <c r="FA128" s="296"/>
      <c r="FB128" s="296"/>
      <c r="FC128" s="296"/>
      <c r="FD128" s="296"/>
      <c r="FE128" s="296"/>
      <c r="FF128" s="296"/>
      <c r="FG128" s="296"/>
      <c r="FH128" s="296"/>
      <c r="FI128" s="296"/>
      <c r="FJ128" s="296"/>
      <c r="FK128" s="296"/>
      <c r="FL128" s="296"/>
      <c r="FM128" s="296"/>
      <c r="FN128" s="296"/>
      <c r="FO128" s="296"/>
      <c r="FP128" s="296"/>
      <c r="FQ128" s="296"/>
      <c r="FR128" s="296"/>
      <c r="FS128" s="296"/>
      <c r="FT128" s="296"/>
      <c r="FU128" s="296"/>
      <c r="FV128" s="296"/>
      <c r="FW128" s="296"/>
      <c r="FX128" s="296"/>
      <c r="FY128" s="296"/>
      <c r="FZ128" s="296"/>
      <c r="GA128" s="296"/>
      <c r="GB128" s="296"/>
      <c r="GC128" s="296"/>
      <c r="GD128" s="296"/>
      <c r="GE128" s="296"/>
      <c r="GF128" s="296"/>
      <c r="GG128" s="296"/>
      <c r="GH128" s="296"/>
      <c r="GI128" s="296"/>
      <c r="GJ128" s="296"/>
      <c r="GK128" s="296"/>
      <c r="GL128" s="296"/>
      <c r="GM128" s="296"/>
      <c r="GN128" s="296"/>
      <c r="GO128" s="296"/>
      <c r="GP128" s="296"/>
      <c r="GQ128" s="296"/>
      <c r="GR128" s="296"/>
      <c r="GS128" s="296"/>
      <c r="GT128" s="296"/>
      <c r="GU128" s="296"/>
      <c r="GV128" s="296"/>
      <c r="GW128" s="296"/>
      <c r="GX128" s="296"/>
      <c r="GY128" s="296"/>
      <c r="GZ128" s="296"/>
      <c r="HA128" s="296"/>
      <c r="HB128" s="296"/>
      <c r="HC128" s="296"/>
      <c r="HD128" s="296"/>
      <c r="HE128" s="296"/>
      <c r="HF128" s="296"/>
      <c r="HG128" s="296"/>
      <c r="HH128" s="296"/>
      <c r="HI128" s="296"/>
      <c r="HJ128" s="296"/>
      <c r="HK128" s="296"/>
      <c r="HL128" s="296"/>
      <c r="HM128" s="296"/>
      <c r="HN128" s="296"/>
      <c r="HO128" s="296"/>
      <c r="HP128" s="296"/>
      <c r="HQ128" s="296"/>
      <c r="HR128" s="296"/>
      <c r="HS128" s="296"/>
      <c r="HT128" s="296"/>
      <c r="HU128" s="296"/>
      <c r="HV128" s="296"/>
      <c r="HW128" s="296"/>
      <c r="HX128" s="296"/>
      <c r="HY128" s="296"/>
      <c r="HZ128" s="296"/>
      <c r="IA128" s="296"/>
      <c r="IB128" s="296"/>
      <c r="IC128" s="296"/>
      <c r="ID128" s="296"/>
      <c r="IE128" s="296"/>
      <c r="IF128" s="296"/>
      <c r="IG128" s="296"/>
      <c r="IH128" s="296"/>
      <c r="II128" s="296"/>
      <c r="IJ128" s="296"/>
      <c r="IK128" s="296"/>
      <c r="IL128" s="296"/>
      <c r="IM128" s="296"/>
      <c r="IN128" s="296"/>
      <c r="IO128" s="296"/>
      <c r="IP128" s="296"/>
      <c r="IQ128" s="296"/>
      <c r="IR128" s="296"/>
      <c r="IS128" s="296"/>
      <c r="IT128" s="296"/>
      <c r="IU128" s="296"/>
      <c r="IV128" s="296"/>
    </row>
    <row r="129" spans="1:256" customFormat="1" ht="12.75" customHeight="1">
      <c r="A129" s="296"/>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6"/>
      <c r="CH129" s="296"/>
      <c r="CI129" s="296"/>
      <c r="CJ129" s="296"/>
      <c r="CK129" s="296"/>
      <c r="CL129" s="296"/>
      <c r="CM129" s="296"/>
      <c r="CN129" s="296"/>
      <c r="CO129" s="296"/>
      <c r="CP129" s="296"/>
      <c r="CQ129" s="296"/>
      <c r="CR129" s="296"/>
      <c r="CS129" s="296"/>
      <c r="CT129" s="296"/>
      <c r="CU129" s="296"/>
      <c r="CV129" s="296"/>
      <c r="CW129" s="296"/>
      <c r="CX129" s="296"/>
      <c r="CY129" s="296"/>
      <c r="CZ129" s="296"/>
      <c r="DA129" s="296"/>
      <c r="DB129" s="296"/>
      <c r="DC129" s="296"/>
      <c r="DD129" s="296"/>
      <c r="DE129" s="296"/>
      <c r="DF129" s="296"/>
      <c r="DG129" s="296"/>
      <c r="DH129" s="296"/>
      <c r="DI129" s="296"/>
      <c r="DJ129" s="296"/>
      <c r="DK129" s="296"/>
      <c r="DL129" s="296"/>
      <c r="DM129" s="296"/>
      <c r="DN129" s="296"/>
      <c r="DO129" s="296"/>
      <c r="DP129" s="296"/>
      <c r="DQ129" s="296"/>
      <c r="DR129" s="296"/>
      <c r="DS129" s="296"/>
      <c r="DT129" s="296"/>
      <c r="DU129" s="296"/>
      <c r="DV129" s="296"/>
      <c r="DW129" s="296"/>
      <c r="DX129" s="296"/>
      <c r="DY129" s="296"/>
      <c r="DZ129" s="296"/>
      <c r="EA129" s="296"/>
      <c r="EB129" s="296"/>
      <c r="EC129" s="296"/>
      <c r="ED129" s="296"/>
      <c r="EE129" s="296"/>
      <c r="EF129" s="296"/>
      <c r="EG129" s="296"/>
      <c r="EH129" s="296"/>
      <c r="EI129" s="296"/>
      <c r="EJ129" s="296"/>
      <c r="EK129" s="296"/>
      <c r="EL129" s="296"/>
      <c r="EM129" s="296"/>
      <c r="EN129" s="296"/>
      <c r="EO129" s="296"/>
      <c r="EP129" s="296"/>
      <c r="EQ129" s="296"/>
      <c r="ER129" s="296"/>
      <c r="ES129" s="296"/>
      <c r="ET129" s="296"/>
      <c r="EU129" s="296"/>
      <c r="EV129" s="296"/>
      <c r="EW129" s="296"/>
      <c r="EX129" s="296"/>
      <c r="EY129" s="296"/>
      <c r="EZ129" s="296"/>
      <c r="FA129" s="296"/>
      <c r="FB129" s="296"/>
      <c r="FC129" s="296"/>
      <c r="FD129" s="296"/>
      <c r="FE129" s="296"/>
      <c r="FF129" s="296"/>
      <c r="FG129" s="296"/>
      <c r="FH129" s="296"/>
      <c r="FI129" s="296"/>
      <c r="FJ129" s="296"/>
      <c r="FK129" s="296"/>
      <c r="FL129" s="296"/>
      <c r="FM129" s="296"/>
      <c r="FN129" s="296"/>
      <c r="FO129" s="296"/>
      <c r="FP129" s="296"/>
      <c r="FQ129" s="296"/>
      <c r="FR129" s="296"/>
      <c r="FS129" s="296"/>
      <c r="FT129" s="296"/>
      <c r="FU129" s="296"/>
      <c r="FV129" s="296"/>
      <c r="FW129" s="296"/>
      <c r="FX129" s="296"/>
      <c r="FY129" s="296"/>
      <c r="FZ129" s="296"/>
      <c r="GA129" s="296"/>
      <c r="GB129" s="296"/>
      <c r="GC129" s="296"/>
      <c r="GD129" s="296"/>
      <c r="GE129" s="296"/>
      <c r="GF129" s="296"/>
      <c r="GG129" s="296"/>
      <c r="GH129" s="296"/>
      <c r="GI129" s="296"/>
      <c r="GJ129" s="296"/>
      <c r="GK129" s="296"/>
      <c r="GL129" s="296"/>
      <c r="GM129" s="296"/>
      <c r="GN129" s="296"/>
      <c r="GO129" s="296"/>
      <c r="GP129" s="296"/>
      <c r="GQ129" s="296"/>
      <c r="GR129" s="296"/>
      <c r="GS129" s="296"/>
      <c r="GT129" s="296"/>
      <c r="GU129" s="296"/>
      <c r="GV129" s="296"/>
      <c r="GW129" s="296"/>
      <c r="GX129" s="296"/>
      <c r="GY129" s="296"/>
      <c r="GZ129" s="296"/>
      <c r="HA129" s="296"/>
      <c r="HB129" s="296"/>
      <c r="HC129" s="296"/>
      <c r="HD129" s="296"/>
      <c r="HE129" s="296"/>
      <c r="HF129" s="296"/>
      <c r="HG129" s="296"/>
      <c r="HH129" s="296"/>
      <c r="HI129" s="296"/>
      <c r="HJ129" s="296"/>
      <c r="HK129" s="296"/>
      <c r="HL129" s="296"/>
      <c r="HM129" s="296"/>
      <c r="HN129" s="296"/>
      <c r="HO129" s="296"/>
      <c r="HP129" s="296"/>
      <c r="HQ129" s="296"/>
      <c r="HR129" s="296"/>
      <c r="HS129" s="296"/>
      <c r="HT129" s="296"/>
      <c r="HU129" s="296"/>
      <c r="HV129" s="296"/>
      <c r="HW129" s="296"/>
      <c r="HX129" s="296"/>
      <c r="HY129" s="296"/>
      <c r="HZ129" s="296"/>
      <c r="IA129" s="296"/>
      <c r="IB129" s="296"/>
      <c r="IC129" s="296"/>
      <c r="ID129" s="296"/>
      <c r="IE129" s="296"/>
      <c r="IF129" s="296"/>
      <c r="IG129" s="296"/>
      <c r="IH129" s="296"/>
      <c r="II129" s="296"/>
      <c r="IJ129" s="296"/>
      <c r="IK129" s="296"/>
      <c r="IL129" s="296"/>
      <c r="IM129" s="296"/>
      <c r="IN129" s="296"/>
      <c r="IO129" s="296"/>
      <c r="IP129" s="296"/>
      <c r="IQ129" s="296"/>
      <c r="IR129" s="296"/>
      <c r="IS129" s="296"/>
      <c r="IT129" s="296"/>
      <c r="IU129" s="296"/>
      <c r="IV129" s="296"/>
    </row>
    <row r="130" spans="1:256" customFormat="1" ht="12.75" customHeight="1">
      <c r="A130" s="296"/>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6"/>
      <c r="CN130" s="296"/>
      <c r="CO130" s="296"/>
      <c r="CP130" s="296"/>
      <c r="CQ130" s="296"/>
      <c r="CR130" s="296"/>
      <c r="CS130" s="296"/>
      <c r="CT130" s="296"/>
      <c r="CU130" s="296"/>
      <c r="CV130" s="296"/>
      <c r="CW130" s="296"/>
      <c r="CX130" s="296"/>
      <c r="CY130" s="296"/>
      <c r="CZ130" s="296"/>
      <c r="DA130" s="296"/>
      <c r="DB130" s="296"/>
      <c r="DC130" s="296"/>
      <c r="DD130" s="296"/>
      <c r="DE130" s="296"/>
      <c r="DF130" s="296"/>
      <c r="DG130" s="296"/>
      <c r="DH130" s="296"/>
      <c r="DI130" s="296"/>
      <c r="DJ130" s="296"/>
      <c r="DK130" s="296"/>
      <c r="DL130" s="296"/>
      <c r="DM130" s="296"/>
      <c r="DN130" s="296"/>
      <c r="DO130" s="296"/>
      <c r="DP130" s="296"/>
      <c r="DQ130" s="296"/>
      <c r="DR130" s="296"/>
      <c r="DS130" s="296"/>
      <c r="DT130" s="296"/>
      <c r="DU130" s="296"/>
      <c r="DV130" s="296"/>
      <c r="DW130" s="296"/>
      <c r="DX130" s="296"/>
      <c r="DY130" s="296"/>
      <c r="DZ130" s="296"/>
      <c r="EA130" s="296"/>
      <c r="EB130" s="296"/>
      <c r="EC130" s="296"/>
      <c r="ED130" s="296"/>
      <c r="EE130" s="296"/>
      <c r="EF130" s="296"/>
      <c r="EG130" s="296"/>
      <c r="EH130" s="296"/>
      <c r="EI130" s="296"/>
      <c r="EJ130" s="296"/>
      <c r="EK130" s="296"/>
      <c r="EL130" s="296"/>
      <c r="EM130" s="296"/>
      <c r="EN130" s="296"/>
      <c r="EO130" s="296"/>
      <c r="EP130" s="296"/>
      <c r="EQ130" s="296"/>
      <c r="ER130" s="296"/>
      <c r="ES130" s="296"/>
      <c r="ET130" s="296"/>
      <c r="EU130" s="296"/>
      <c r="EV130" s="296"/>
      <c r="EW130" s="296"/>
      <c r="EX130" s="296"/>
      <c r="EY130" s="296"/>
      <c r="EZ130" s="296"/>
      <c r="FA130" s="296"/>
      <c r="FB130" s="296"/>
      <c r="FC130" s="296"/>
      <c r="FD130" s="296"/>
      <c r="FE130" s="296"/>
      <c r="FF130" s="296"/>
      <c r="FG130" s="296"/>
      <c r="FH130" s="296"/>
      <c r="FI130" s="296"/>
      <c r="FJ130" s="296"/>
      <c r="FK130" s="296"/>
      <c r="FL130" s="296"/>
      <c r="FM130" s="296"/>
      <c r="FN130" s="296"/>
      <c r="FO130" s="296"/>
      <c r="FP130" s="296"/>
      <c r="FQ130" s="296"/>
      <c r="FR130" s="296"/>
      <c r="FS130" s="296"/>
      <c r="FT130" s="296"/>
      <c r="FU130" s="296"/>
      <c r="FV130" s="296"/>
      <c r="FW130" s="296"/>
      <c r="FX130" s="296"/>
      <c r="FY130" s="296"/>
      <c r="FZ130" s="296"/>
      <c r="GA130" s="296"/>
      <c r="GB130" s="296"/>
      <c r="GC130" s="296"/>
      <c r="GD130" s="296"/>
      <c r="GE130" s="296"/>
      <c r="GF130" s="296"/>
      <c r="GG130" s="296"/>
      <c r="GH130" s="296"/>
      <c r="GI130" s="296"/>
      <c r="GJ130" s="296"/>
      <c r="GK130" s="296"/>
      <c r="GL130" s="296"/>
      <c r="GM130" s="296"/>
      <c r="GN130" s="296"/>
      <c r="GO130" s="296"/>
      <c r="GP130" s="296"/>
      <c r="GQ130" s="296"/>
      <c r="GR130" s="296"/>
      <c r="GS130" s="296"/>
      <c r="GT130" s="296"/>
      <c r="GU130" s="296"/>
      <c r="GV130" s="296"/>
      <c r="GW130" s="296"/>
      <c r="GX130" s="296"/>
      <c r="GY130" s="296"/>
      <c r="GZ130" s="296"/>
      <c r="HA130" s="296"/>
      <c r="HB130" s="296"/>
      <c r="HC130" s="296"/>
      <c r="HD130" s="296"/>
      <c r="HE130" s="296"/>
      <c r="HF130" s="296"/>
      <c r="HG130" s="296"/>
      <c r="HH130" s="296"/>
      <c r="HI130" s="296"/>
      <c r="HJ130" s="296"/>
      <c r="HK130" s="296"/>
      <c r="HL130" s="296"/>
      <c r="HM130" s="296"/>
      <c r="HN130" s="296"/>
      <c r="HO130" s="296"/>
      <c r="HP130" s="296"/>
      <c r="HQ130" s="296"/>
      <c r="HR130" s="296"/>
      <c r="HS130" s="296"/>
      <c r="HT130" s="296"/>
      <c r="HU130" s="296"/>
      <c r="HV130" s="296"/>
      <c r="HW130" s="296"/>
      <c r="HX130" s="296"/>
      <c r="HY130" s="296"/>
      <c r="HZ130" s="296"/>
      <c r="IA130" s="296"/>
      <c r="IB130" s="296"/>
      <c r="IC130" s="296"/>
      <c r="ID130" s="296"/>
      <c r="IE130" s="296"/>
      <c r="IF130" s="296"/>
      <c r="IG130" s="296"/>
      <c r="IH130" s="296"/>
      <c r="II130" s="296"/>
      <c r="IJ130" s="296"/>
      <c r="IK130" s="296"/>
      <c r="IL130" s="296"/>
      <c r="IM130" s="296"/>
      <c r="IN130" s="296"/>
      <c r="IO130" s="296"/>
      <c r="IP130" s="296"/>
      <c r="IQ130" s="296"/>
      <c r="IR130" s="296"/>
      <c r="IS130" s="296"/>
      <c r="IT130" s="296"/>
      <c r="IU130" s="296"/>
      <c r="IV130" s="296"/>
    </row>
    <row r="131" spans="1:256" customFormat="1" ht="12.75" customHeight="1">
      <c r="A131" s="296"/>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c r="CA131" s="296"/>
      <c r="CB131" s="296"/>
      <c r="CC131" s="296"/>
      <c r="CD131" s="296"/>
      <c r="CE131" s="296"/>
      <c r="CF131" s="296"/>
      <c r="CG131" s="296"/>
      <c r="CH131" s="296"/>
      <c r="CI131" s="296"/>
      <c r="CJ131" s="296"/>
      <c r="CK131" s="296"/>
      <c r="CL131" s="296"/>
      <c r="CM131" s="296"/>
      <c r="CN131" s="296"/>
      <c r="CO131" s="296"/>
      <c r="CP131" s="296"/>
      <c r="CQ131" s="296"/>
      <c r="CR131" s="296"/>
      <c r="CS131" s="296"/>
      <c r="CT131" s="296"/>
      <c r="CU131" s="296"/>
      <c r="CV131" s="296"/>
      <c r="CW131" s="296"/>
      <c r="CX131" s="296"/>
      <c r="CY131" s="296"/>
      <c r="CZ131" s="296"/>
      <c r="DA131" s="296"/>
      <c r="DB131" s="296"/>
      <c r="DC131" s="296"/>
      <c r="DD131" s="296"/>
      <c r="DE131" s="296"/>
      <c r="DF131" s="296"/>
      <c r="DG131" s="296"/>
      <c r="DH131" s="296"/>
      <c r="DI131" s="296"/>
      <c r="DJ131" s="296"/>
      <c r="DK131" s="296"/>
      <c r="DL131" s="296"/>
      <c r="DM131" s="296"/>
      <c r="DN131" s="296"/>
      <c r="DO131" s="296"/>
      <c r="DP131" s="296"/>
      <c r="DQ131" s="296"/>
      <c r="DR131" s="296"/>
      <c r="DS131" s="296"/>
      <c r="DT131" s="296"/>
      <c r="DU131" s="296"/>
      <c r="DV131" s="296"/>
      <c r="DW131" s="296"/>
      <c r="DX131" s="296"/>
      <c r="DY131" s="296"/>
      <c r="DZ131" s="296"/>
      <c r="EA131" s="296"/>
      <c r="EB131" s="296"/>
      <c r="EC131" s="296"/>
      <c r="ED131" s="296"/>
      <c r="EE131" s="296"/>
      <c r="EF131" s="296"/>
      <c r="EG131" s="296"/>
      <c r="EH131" s="296"/>
      <c r="EI131" s="296"/>
      <c r="EJ131" s="296"/>
      <c r="EK131" s="296"/>
      <c r="EL131" s="296"/>
      <c r="EM131" s="296"/>
      <c r="EN131" s="296"/>
      <c r="EO131" s="296"/>
      <c r="EP131" s="296"/>
      <c r="EQ131" s="296"/>
      <c r="ER131" s="296"/>
      <c r="ES131" s="296"/>
      <c r="ET131" s="296"/>
      <c r="EU131" s="296"/>
      <c r="EV131" s="296"/>
      <c r="EW131" s="296"/>
      <c r="EX131" s="296"/>
      <c r="EY131" s="296"/>
      <c r="EZ131" s="296"/>
      <c r="FA131" s="296"/>
      <c r="FB131" s="296"/>
      <c r="FC131" s="296"/>
      <c r="FD131" s="296"/>
      <c r="FE131" s="296"/>
      <c r="FF131" s="296"/>
      <c r="FG131" s="296"/>
      <c r="FH131" s="296"/>
      <c r="FI131" s="296"/>
      <c r="FJ131" s="296"/>
      <c r="FK131" s="296"/>
      <c r="FL131" s="296"/>
      <c r="FM131" s="296"/>
      <c r="FN131" s="296"/>
      <c r="FO131" s="296"/>
      <c r="FP131" s="296"/>
      <c r="FQ131" s="296"/>
      <c r="FR131" s="296"/>
      <c r="FS131" s="296"/>
      <c r="FT131" s="296"/>
      <c r="FU131" s="296"/>
      <c r="FV131" s="296"/>
      <c r="FW131" s="296"/>
      <c r="FX131" s="296"/>
      <c r="FY131" s="296"/>
      <c r="FZ131" s="296"/>
      <c r="GA131" s="296"/>
      <c r="GB131" s="296"/>
      <c r="GC131" s="296"/>
      <c r="GD131" s="296"/>
      <c r="GE131" s="296"/>
      <c r="GF131" s="296"/>
      <c r="GG131" s="296"/>
      <c r="GH131" s="296"/>
      <c r="GI131" s="296"/>
      <c r="GJ131" s="296"/>
      <c r="GK131" s="296"/>
      <c r="GL131" s="296"/>
      <c r="GM131" s="296"/>
      <c r="GN131" s="296"/>
      <c r="GO131" s="296"/>
      <c r="GP131" s="296"/>
      <c r="GQ131" s="296"/>
      <c r="GR131" s="296"/>
      <c r="GS131" s="296"/>
      <c r="GT131" s="296"/>
      <c r="GU131" s="296"/>
      <c r="GV131" s="296"/>
      <c r="GW131" s="296"/>
      <c r="GX131" s="296"/>
      <c r="GY131" s="296"/>
      <c r="GZ131" s="296"/>
      <c r="HA131" s="296"/>
      <c r="HB131" s="296"/>
      <c r="HC131" s="296"/>
      <c r="HD131" s="296"/>
      <c r="HE131" s="296"/>
      <c r="HF131" s="296"/>
      <c r="HG131" s="296"/>
      <c r="HH131" s="296"/>
      <c r="HI131" s="296"/>
      <c r="HJ131" s="296"/>
      <c r="HK131" s="296"/>
      <c r="HL131" s="296"/>
      <c r="HM131" s="296"/>
      <c r="HN131" s="296"/>
      <c r="HO131" s="296"/>
      <c r="HP131" s="296"/>
      <c r="HQ131" s="296"/>
      <c r="HR131" s="296"/>
      <c r="HS131" s="296"/>
      <c r="HT131" s="296"/>
      <c r="HU131" s="296"/>
      <c r="HV131" s="296"/>
      <c r="HW131" s="296"/>
      <c r="HX131" s="296"/>
      <c r="HY131" s="296"/>
      <c r="HZ131" s="296"/>
      <c r="IA131" s="296"/>
      <c r="IB131" s="296"/>
      <c r="IC131" s="296"/>
      <c r="ID131" s="296"/>
      <c r="IE131" s="296"/>
      <c r="IF131" s="296"/>
      <c r="IG131" s="296"/>
      <c r="IH131" s="296"/>
      <c r="II131" s="296"/>
      <c r="IJ131" s="296"/>
      <c r="IK131" s="296"/>
      <c r="IL131" s="296"/>
      <c r="IM131" s="296"/>
      <c r="IN131" s="296"/>
      <c r="IO131" s="296"/>
      <c r="IP131" s="296"/>
      <c r="IQ131" s="296"/>
      <c r="IR131" s="296"/>
      <c r="IS131" s="296"/>
      <c r="IT131" s="296"/>
      <c r="IU131" s="296"/>
      <c r="IV131" s="296"/>
    </row>
    <row r="132" spans="1:256" customFormat="1" ht="12.75" customHeight="1">
      <c r="A132" s="296"/>
      <c r="B132" s="296"/>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6"/>
      <c r="CN132" s="296"/>
      <c r="CO132" s="296"/>
      <c r="CP132" s="296"/>
      <c r="CQ132" s="296"/>
      <c r="CR132" s="296"/>
      <c r="CS132" s="296"/>
      <c r="CT132" s="296"/>
      <c r="CU132" s="296"/>
      <c r="CV132" s="296"/>
      <c r="CW132" s="296"/>
      <c r="CX132" s="296"/>
      <c r="CY132" s="296"/>
      <c r="CZ132" s="296"/>
      <c r="DA132" s="296"/>
      <c r="DB132" s="296"/>
      <c r="DC132" s="296"/>
      <c r="DD132" s="296"/>
      <c r="DE132" s="296"/>
      <c r="DF132" s="296"/>
      <c r="DG132" s="296"/>
      <c r="DH132" s="296"/>
      <c r="DI132" s="296"/>
      <c r="DJ132" s="296"/>
      <c r="DK132" s="296"/>
      <c r="DL132" s="296"/>
      <c r="DM132" s="296"/>
      <c r="DN132" s="296"/>
      <c r="DO132" s="296"/>
      <c r="DP132" s="296"/>
      <c r="DQ132" s="296"/>
      <c r="DR132" s="296"/>
      <c r="DS132" s="296"/>
      <c r="DT132" s="296"/>
      <c r="DU132" s="296"/>
      <c r="DV132" s="296"/>
      <c r="DW132" s="296"/>
      <c r="DX132" s="296"/>
      <c r="DY132" s="296"/>
      <c r="DZ132" s="296"/>
      <c r="EA132" s="296"/>
      <c r="EB132" s="296"/>
      <c r="EC132" s="296"/>
      <c r="ED132" s="296"/>
      <c r="EE132" s="296"/>
      <c r="EF132" s="296"/>
      <c r="EG132" s="296"/>
      <c r="EH132" s="296"/>
      <c r="EI132" s="296"/>
      <c r="EJ132" s="296"/>
      <c r="EK132" s="296"/>
      <c r="EL132" s="296"/>
      <c r="EM132" s="296"/>
      <c r="EN132" s="296"/>
      <c r="EO132" s="296"/>
      <c r="EP132" s="296"/>
      <c r="EQ132" s="296"/>
      <c r="ER132" s="296"/>
      <c r="ES132" s="296"/>
      <c r="ET132" s="296"/>
      <c r="EU132" s="296"/>
      <c r="EV132" s="296"/>
      <c r="EW132" s="296"/>
      <c r="EX132" s="296"/>
      <c r="EY132" s="296"/>
      <c r="EZ132" s="296"/>
      <c r="FA132" s="296"/>
      <c r="FB132" s="296"/>
      <c r="FC132" s="296"/>
      <c r="FD132" s="296"/>
      <c r="FE132" s="296"/>
      <c r="FF132" s="296"/>
      <c r="FG132" s="296"/>
      <c r="FH132" s="296"/>
      <c r="FI132" s="296"/>
      <c r="FJ132" s="296"/>
      <c r="FK132" s="296"/>
      <c r="FL132" s="296"/>
      <c r="FM132" s="296"/>
      <c r="FN132" s="296"/>
      <c r="FO132" s="296"/>
      <c r="FP132" s="296"/>
      <c r="FQ132" s="296"/>
      <c r="FR132" s="296"/>
      <c r="FS132" s="296"/>
      <c r="FT132" s="296"/>
      <c r="FU132" s="296"/>
      <c r="FV132" s="296"/>
      <c r="FW132" s="296"/>
      <c r="FX132" s="296"/>
      <c r="FY132" s="296"/>
      <c r="FZ132" s="296"/>
      <c r="GA132" s="296"/>
      <c r="GB132" s="296"/>
      <c r="GC132" s="296"/>
      <c r="GD132" s="296"/>
      <c r="GE132" s="296"/>
      <c r="GF132" s="296"/>
      <c r="GG132" s="296"/>
      <c r="GH132" s="296"/>
      <c r="GI132" s="296"/>
      <c r="GJ132" s="296"/>
      <c r="GK132" s="296"/>
      <c r="GL132" s="296"/>
      <c r="GM132" s="296"/>
      <c r="GN132" s="296"/>
      <c r="GO132" s="296"/>
      <c r="GP132" s="296"/>
      <c r="GQ132" s="296"/>
      <c r="GR132" s="296"/>
      <c r="GS132" s="296"/>
      <c r="GT132" s="296"/>
      <c r="GU132" s="296"/>
      <c r="GV132" s="296"/>
      <c r="GW132" s="296"/>
      <c r="GX132" s="296"/>
      <c r="GY132" s="296"/>
      <c r="GZ132" s="296"/>
      <c r="HA132" s="296"/>
      <c r="HB132" s="296"/>
      <c r="HC132" s="296"/>
      <c r="HD132" s="296"/>
      <c r="HE132" s="296"/>
      <c r="HF132" s="296"/>
      <c r="HG132" s="296"/>
      <c r="HH132" s="296"/>
      <c r="HI132" s="296"/>
      <c r="HJ132" s="296"/>
      <c r="HK132" s="296"/>
      <c r="HL132" s="296"/>
      <c r="HM132" s="296"/>
      <c r="HN132" s="296"/>
      <c r="HO132" s="296"/>
      <c r="HP132" s="296"/>
      <c r="HQ132" s="296"/>
      <c r="HR132" s="296"/>
      <c r="HS132" s="296"/>
      <c r="HT132" s="296"/>
      <c r="HU132" s="296"/>
      <c r="HV132" s="296"/>
      <c r="HW132" s="296"/>
      <c r="HX132" s="296"/>
      <c r="HY132" s="296"/>
      <c r="HZ132" s="296"/>
      <c r="IA132" s="296"/>
      <c r="IB132" s="296"/>
      <c r="IC132" s="296"/>
      <c r="ID132" s="296"/>
      <c r="IE132" s="296"/>
      <c r="IF132" s="296"/>
      <c r="IG132" s="296"/>
      <c r="IH132" s="296"/>
      <c r="II132" s="296"/>
      <c r="IJ132" s="296"/>
      <c r="IK132" s="296"/>
      <c r="IL132" s="296"/>
      <c r="IM132" s="296"/>
      <c r="IN132" s="296"/>
      <c r="IO132" s="296"/>
      <c r="IP132" s="296"/>
      <c r="IQ132" s="296"/>
      <c r="IR132" s="296"/>
      <c r="IS132" s="296"/>
      <c r="IT132" s="296"/>
      <c r="IU132" s="296"/>
      <c r="IV132" s="296"/>
    </row>
    <row r="133" spans="1:256" customFormat="1" ht="12.75" customHeight="1">
      <c r="A133" s="296"/>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296"/>
      <c r="CB133" s="296"/>
      <c r="CC133" s="296"/>
      <c r="CD133" s="296"/>
      <c r="CE133" s="296"/>
      <c r="CF133" s="296"/>
      <c r="CG133" s="296"/>
      <c r="CH133" s="296"/>
      <c r="CI133" s="296"/>
      <c r="CJ133" s="296"/>
      <c r="CK133" s="296"/>
      <c r="CL133" s="296"/>
      <c r="CM133" s="296"/>
      <c r="CN133" s="296"/>
      <c r="CO133" s="296"/>
      <c r="CP133" s="296"/>
      <c r="CQ133" s="296"/>
      <c r="CR133" s="296"/>
      <c r="CS133" s="296"/>
      <c r="CT133" s="296"/>
      <c r="CU133" s="296"/>
      <c r="CV133" s="296"/>
      <c r="CW133" s="296"/>
      <c r="CX133" s="296"/>
      <c r="CY133" s="296"/>
      <c r="CZ133" s="296"/>
      <c r="DA133" s="296"/>
      <c r="DB133" s="296"/>
      <c r="DC133" s="296"/>
      <c r="DD133" s="296"/>
      <c r="DE133" s="296"/>
      <c r="DF133" s="296"/>
      <c r="DG133" s="296"/>
      <c r="DH133" s="296"/>
      <c r="DI133" s="296"/>
      <c r="DJ133" s="296"/>
      <c r="DK133" s="296"/>
      <c r="DL133" s="296"/>
      <c r="DM133" s="296"/>
      <c r="DN133" s="296"/>
      <c r="DO133" s="296"/>
      <c r="DP133" s="296"/>
      <c r="DQ133" s="296"/>
      <c r="DR133" s="296"/>
      <c r="DS133" s="296"/>
      <c r="DT133" s="296"/>
      <c r="DU133" s="296"/>
      <c r="DV133" s="296"/>
      <c r="DW133" s="296"/>
      <c r="DX133" s="296"/>
      <c r="DY133" s="296"/>
      <c r="DZ133" s="296"/>
      <c r="EA133" s="296"/>
      <c r="EB133" s="296"/>
      <c r="EC133" s="296"/>
      <c r="ED133" s="296"/>
      <c r="EE133" s="296"/>
      <c r="EF133" s="296"/>
      <c r="EG133" s="296"/>
      <c r="EH133" s="296"/>
      <c r="EI133" s="296"/>
      <c r="EJ133" s="296"/>
      <c r="EK133" s="296"/>
      <c r="EL133" s="296"/>
      <c r="EM133" s="296"/>
      <c r="EN133" s="296"/>
      <c r="EO133" s="296"/>
      <c r="EP133" s="296"/>
      <c r="EQ133" s="296"/>
      <c r="ER133" s="296"/>
      <c r="ES133" s="296"/>
      <c r="ET133" s="296"/>
      <c r="EU133" s="296"/>
      <c r="EV133" s="296"/>
      <c r="EW133" s="296"/>
      <c r="EX133" s="296"/>
      <c r="EY133" s="296"/>
      <c r="EZ133" s="296"/>
      <c r="FA133" s="296"/>
      <c r="FB133" s="296"/>
      <c r="FC133" s="296"/>
      <c r="FD133" s="296"/>
      <c r="FE133" s="296"/>
      <c r="FF133" s="296"/>
      <c r="FG133" s="296"/>
      <c r="FH133" s="296"/>
      <c r="FI133" s="296"/>
      <c r="FJ133" s="296"/>
      <c r="FK133" s="296"/>
      <c r="FL133" s="296"/>
      <c r="FM133" s="296"/>
      <c r="FN133" s="296"/>
      <c r="FO133" s="296"/>
      <c r="FP133" s="296"/>
      <c r="FQ133" s="296"/>
      <c r="FR133" s="296"/>
      <c r="FS133" s="296"/>
      <c r="FT133" s="296"/>
      <c r="FU133" s="296"/>
      <c r="FV133" s="296"/>
      <c r="FW133" s="296"/>
      <c r="FX133" s="296"/>
      <c r="FY133" s="296"/>
      <c r="FZ133" s="296"/>
      <c r="GA133" s="296"/>
      <c r="GB133" s="296"/>
      <c r="GC133" s="296"/>
      <c r="GD133" s="296"/>
      <c r="GE133" s="296"/>
      <c r="GF133" s="296"/>
      <c r="GG133" s="296"/>
      <c r="GH133" s="296"/>
      <c r="GI133" s="296"/>
      <c r="GJ133" s="296"/>
      <c r="GK133" s="296"/>
      <c r="GL133" s="296"/>
      <c r="GM133" s="296"/>
      <c r="GN133" s="296"/>
      <c r="GO133" s="296"/>
      <c r="GP133" s="296"/>
      <c r="GQ133" s="296"/>
      <c r="GR133" s="296"/>
      <c r="GS133" s="296"/>
      <c r="GT133" s="296"/>
      <c r="GU133" s="296"/>
      <c r="GV133" s="296"/>
      <c r="GW133" s="296"/>
      <c r="GX133" s="296"/>
      <c r="GY133" s="296"/>
      <c r="GZ133" s="296"/>
      <c r="HA133" s="296"/>
      <c r="HB133" s="296"/>
      <c r="HC133" s="296"/>
      <c r="HD133" s="296"/>
      <c r="HE133" s="296"/>
      <c r="HF133" s="296"/>
      <c r="HG133" s="296"/>
      <c r="HH133" s="296"/>
      <c r="HI133" s="296"/>
      <c r="HJ133" s="296"/>
      <c r="HK133" s="296"/>
      <c r="HL133" s="296"/>
      <c r="HM133" s="296"/>
      <c r="HN133" s="296"/>
      <c r="HO133" s="296"/>
      <c r="HP133" s="296"/>
      <c r="HQ133" s="296"/>
      <c r="HR133" s="296"/>
      <c r="HS133" s="296"/>
      <c r="HT133" s="296"/>
      <c r="HU133" s="296"/>
      <c r="HV133" s="296"/>
      <c r="HW133" s="296"/>
      <c r="HX133" s="296"/>
      <c r="HY133" s="296"/>
      <c r="HZ133" s="296"/>
      <c r="IA133" s="296"/>
      <c r="IB133" s="296"/>
      <c r="IC133" s="296"/>
      <c r="ID133" s="296"/>
      <c r="IE133" s="296"/>
      <c r="IF133" s="296"/>
      <c r="IG133" s="296"/>
      <c r="IH133" s="296"/>
      <c r="II133" s="296"/>
      <c r="IJ133" s="296"/>
      <c r="IK133" s="296"/>
      <c r="IL133" s="296"/>
      <c r="IM133" s="296"/>
      <c r="IN133" s="296"/>
      <c r="IO133" s="296"/>
      <c r="IP133" s="296"/>
      <c r="IQ133" s="296"/>
      <c r="IR133" s="296"/>
      <c r="IS133" s="296"/>
      <c r="IT133" s="296"/>
      <c r="IU133" s="296"/>
      <c r="IV133" s="296"/>
    </row>
    <row r="134" spans="1:256" customFormat="1" ht="12.75" customHeight="1">
      <c r="A134" s="296"/>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c r="BQ134" s="296"/>
      <c r="BR134" s="296"/>
      <c r="BS134" s="296"/>
      <c r="BT134" s="296"/>
      <c r="BU134" s="296"/>
      <c r="BV134" s="296"/>
      <c r="BW134" s="296"/>
      <c r="BX134" s="296"/>
      <c r="BY134" s="296"/>
      <c r="BZ134" s="296"/>
      <c r="CA134" s="296"/>
      <c r="CB134" s="296"/>
      <c r="CC134" s="296"/>
      <c r="CD134" s="296"/>
      <c r="CE134" s="296"/>
      <c r="CF134" s="296"/>
      <c r="CG134" s="296"/>
      <c r="CH134" s="296"/>
      <c r="CI134" s="296"/>
      <c r="CJ134" s="296"/>
      <c r="CK134" s="296"/>
      <c r="CL134" s="296"/>
      <c r="CM134" s="296"/>
      <c r="CN134" s="296"/>
      <c r="CO134" s="296"/>
      <c r="CP134" s="296"/>
      <c r="CQ134" s="296"/>
      <c r="CR134" s="296"/>
      <c r="CS134" s="296"/>
      <c r="CT134" s="296"/>
      <c r="CU134" s="296"/>
      <c r="CV134" s="296"/>
      <c r="CW134" s="296"/>
      <c r="CX134" s="296"/>
      <c r="CY134" s="296"/>
      <c r="CZ134" s="296"/>
      <c r="DA134" s="296"/>
      <c r="DB134" s="296"/>
      <c r="DC134" s="296"/>
      <c r="DD134" s="296"/>
      <c r="DE134" s="296"/>
      <c r="DF134" s="296"/>
      <c r="DG134" s="296"/>
      <c r="DH134" s="296"/>
      <c r="DI134" s="296"/>
      <c r="DJ134" s="296"/>
      <c r="DK134" s="296"/>
      <c r="DL134" s="296"/>
      <c r="DM134" s="296"/>
      <c r="DN134" s="296"/>
      <c r="DO134" s="296"/>
      <c r="DP134" s="296"/>
      <c r="DQ134" s="296"/>
      <c r="DR134" s="296"/>
      <c r="DS134" s="296"/>
      <c r="DT134" s="296"/>
      <c r="DU134" s="296"/>
      <c r="DV134" s="296"/>
      <c r="DW134" s="296"/>
      <c r="DX134" s="296"/>
      <c r="DY134" s="296"/>
      <c r="DZ134" s="296"/>
      <c r="EA134" s="296"/>
      <c r="EB134" s="296"/>
      <c r="EC134" s="296"/>
      <c r="ED134" s="296"/>
      <c r="EE134" s="296"/>
      <c r="EF134" s="296"/>
      <c r="EG134" s="296"/>
      <c r="EH134" s="296"/>
      <c r="EI134" s="296"/>
      <c r="EJ134" s="296"/>
      <c r="EK134" s="296"/>
      <c r="EL134" s="296"/>
      <c r="EM134" s="296"/>
      <c r="EN134" s="296"/>
      <c r="EO134" s="296"/>
      <c r="EP134" s="296"/>
      <c r="EQ134" s="296"/>
      <c r="ER134" s="296"/>
      <c r="ES134" s="296"/>
      <c r="ET134" s="296"/>
      <c r="EU134" s="296"/>
      <c r="EV134" s="296"/>
      <c r="EW134" s="296"/>
      <c r="EX134" s="296"/>
      <c r="EY134" s="296"/>
      <c r="EZ134" s="296"/>
      <c r="FA134" s="296"/>
      <c r="FB134" s="296"/>
      <c r="FC134" s="296"/>
      <c r="FD134" s="296"/>
      <c r="FE134" s="296"/>
      <c r="FF134" s="296"/>
      <c r="FG134" s="296"/>
      <c r="FH134" s="296"/>
      <c r="FI134" s="296"/>
      <c r="FJ134" s="296"/>
      <c r="FK134" s="296"/>
      <c r="FL134" s="296"/>
      <c r="FM134" s="296"/>
      <c r="FN134" s="296"/>
      <c r="FO134" s="296"/>
      <c r="FP134" s="296"/>
      <c r="FQ134" s="296"/>
      <c r="FR134" s="296"/>
      <c r="FS134" s="296"/>
      <c r="FT134" s="296"/>
      <c r="FU134" s="296"/>
      <c r="FV134" s="296"/>
      <c r="FW134" s="296"/>
      <c r="FX134" s="296"/>
      <c r="FY134" s="296"/>
      <c r="FZ134" s="296"/>
      <c r="GA134" s="296"/>
      <c r="GB134" s="296"/>
      <c r="GC134" s="296"/>
      <c r="GD134" s="296"/>
      <c r="GE134" s="296"/>
      <c r="GF134" s="296"/>
      <c r="GG134" s="296"/>
      <c r="GH134" s="296"/>
      <c r="GI134" s="296"/>
      <c r="GJ134" s="296"/>
      <c r="GK134" s="296"/>
      <c r="GL134" s="296"/>
      <c r="GM134" s="296"/>
      <c r="GN134" s="296"/>
      <c r="GO134" s="296"/>
      <c r="GP134" s="296"/>
      <c r="GQ134" s="296"/>
      <c r="GR134" s="296"/>
      <c r="GS134" s="296"/>
      <c r="GT134" s="296"/>
      <c r="GU134" s="296"/>
      <c r="GV134" s="296"/>
      <c r="GW134" s="296"/>
      <c r="GX134" s="296"/>
      <c r="GY134" s="296"/>
      <c r="GZ134" s="296"/>
      <c r="HA134" s="296"/>
      <c r="HB134" s="296"/>
      <c r="HC134" s="296"/>
      <c r="HD134" s="296"/>
      <c r="HE134" s="296"/>
      <c r="HF134" s="296"/>
      <c r="HG134" s="296"/>
      <c r="HH134" s="296"/>
      <c r="HI134" s="296"/>
      <c r="HJ134" s="296"/>
      <c r="HK134" s="296"/>
      <c r="HL134" s="296"/>
      <c r="HM134" s="296"/>
      <c r="HN134" s="296"/>
      <c r="HO134" s="296"/>
      <c r="HP134" s="296"/>
      <c r="HQ134" s="296"/>
      <c r="HR134" s="296"/>
      <c r="HS134" s="296"/>
      <c r="HT134" s="296"/>
      <c r="HU134" s="296"/>
      <c r="HV134" s="296"/>
      <c r="HW134" s="296"/>
      <c r="HX134" s="296"/>
      <c r="HY134" s="296"/>
      <c r="HZ134" s="296"/>
      <c r="IA134" s="296"/>
      <c r="IB134" s="296"/>
      <c r="IC134" s="296"/>
      <c r="ID134" s="296"/>
      <c r="IE134" s="296"/>
      <c r="IF134" s="296"/>
      <c r="IG134" s="296"/>
      <c r="IH134" s="296"/>
      <c r="II134" s="296"/>
      <c r="IJ134" s="296"/>
      <c r="IK134" s="296"/>
      <c r="IL134" s="296"/>
      <c r="IM134" s="296"/>
      <c r="IN134" s="296"/>
      <c r="IO134" s="296"/>
      <c r="IP134" s="296"/>
      <c r="IQ134" s="296"/>
      <c r="IR134" s="296"/>
      <c r="IS134" s="296"/>
      <c r="IT134" s="296"/>
      <c r="IU134" s="296"/>
      <c r="IV134" s="296"/>
    </row>
    <row r="135" spans="1:256" customFormat="1" ht="12.75" customHeight="1">
      <c r="A135" s="296"/>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c r="CA135" s="296"/>
      <c r="CB135" s="296"/>
      <c r="CC135" s="296"/>
      <c r="CD135" s="296"/>
      <c r="CE135" s="296"/>
      <c r="CF135" s="296"/>
      <c r="CG135" s="296"/>
      <c r="CH135" s="296"/>
      <c r="CI135" s="296"/>
      <c r="CJ135" s="296"/>
      <c r="CK135" s="296"/>
      <c r="CL135" s="296"/>
      <c r="CM135" s="296"/>
      <c r="CN135" s="296"/>
      <c r="CO135" s="296"/>
      <c r="CP135" s="296"/>
      <c r="CQ135" s="296"/>
      <c r="CR135" s="296"/>
      <c r="CS135" s="296"/>
      <c r="CT135" s="296"/>
      <c r="CU135" s="296"/>
      <c r="CV135" s="296"/>
      <c r="CW135" s="296"/>
      <c r="CX135" s="296"/>
      <c r="CY135" s="296"/>
      <c r="CZ135" s="296"/>
      <c r="DA135" s="296"/>
      <c r="DB135" s="296"/>
      <c r="DC135" s="296"/>
      <c r="DD135" s="296"/>
      <c r="DE135" s="296"/>
      <c r="DF135" s="296"/>
      <c r="DG135" s="296"/>
      <c r="DH135" s="296"/>
      <c r="DI135" s="296"/>
      <c r="DJ135" s="296"/>
      <c r="DK135" s="296"/>
      <c r="DL135" s="296"/>
      <c r="DM135" s="296"/>
      <c r="DN135" s="296"/>
      <c r="DO135" s="296"/>
      <c r="DP135" s="296"/>
      <c r="DQ135" s="296"/>
      <c r="DR135" s="296"/>
      <c r="DS135" s="296"/>
      <c r="DT135" s="296"/>
      <c r="DU135" s="296"/>
      <c r="DV135" s="296"/>
      <c r="DW135" s="296"/>
      <c r="DX135" s="296"/>
      <c r="DY135" s="296"/>
      <c r="DZ135" s="296"/>
      <c r="EA135" s="296"/>
      <c r="EB135" s="296"/>
      <c r="EC135" s="296"/>
      <c r="ED135" s="296"/>
      <c r="EE135" s="296"/>
      <c r="EF135" s="296"/>
      <c r="EG135" s="296"/>
      <c r="EH135" s="296"/>
      <c r="EI135" s="296"/>
      <c r="EJ135" s="296"/>
      <c r="EK135" s="296"/>
      <c r="EL135" s="296"/>
      <c r="EM135" s="296"/>
      <c r="EN135" s="296"/>
      <c r="EO135" s="296"/>
      <c r="EP135" s="296"/>
      <c r="EQ135" s="296"/>
      <c r="ER135" s="296"/>
      <c r="ES135" s="296"/>
      <c r="ET135" s="296"/>
      <c r="EU135" s="296"/>
      <c r="EV135" s="296"/>
      <c r="EW135" s="296"/>
      <c r="EX135" s="296"/>
      <c r="EY135" s="296"/>
      <c r="EZ135" s="296"/>
      <c r="FA135" s="296"/>
      <c r="FB135" s="296"/>
      <c r="FC135" s="296"/>
      <c r="FD135" s="296"/>
      <c r="FE135" s="296"/>
      <c r="FF135" s="296"/>
      <c r="FG135" s="296"/>
      <c r="FH135" s="296"/>
      <c r="FI135" s="296"/>
      <c r="FJ135" s="296"/>
      <c r="FK135" s="296"/>
      <c r="FL135" s="296"/>
      <c r="FM135" s="296"/>
      <c r="FN135" s="296"/>
      <c r="FO135" s="296"/>
      <c r="FP135" s="296"/>
      <c r="FQ135" s="296"/>
      <c r="FR135" s="296"/>
      <c r="FS135" s="296"/>
      <c r="FT135" s="296"/>
      <c r="FU135" s="296"/>
      <c r="FV135" s="296"/>
      <c r="FW135" s="296"/>
      <c r="FX135" s="296"/>
      <c r="FY135" s="296"/>
      <c r="FZ135" s="296"/>
      <c r="GA135" s="296"/>
      <c r="GB135" s="296"/>
      <c r="GC135" s="296"/>
      <c r="GD135" s="296"/>
      <c r="GE135" s="296"/>
      <c r="GF135" s="296"/>
      <c r="GG135" s="296"/>
      <c r="GH135" s="296"/>
      <c r="GI135" s="296"/>
      <c r="GJ135" s="296"/>
      <c r="GK135" s="296"/>
      <c r="GL135" s="296"/>
      <c r="GM135" s="296"/>
      <c r="GN135" s="296"/>
      <c r="GO135" s="296"/>
      <c r="GP135" s="296"/>
      <c r="GQ135" s="296"/>
      <c r="GR135" s="296"/>
      <c r="GS135" s="296"/>
      <c r="GT135" s="296"/>
      <c r="GU135" s="296"/>
      <c r="GV135" s="296"/>
      <c r="GW135" s="296"/>
      <c r="GX135" s="296"/>
      <c r="GY135" s="296"/>
      <c r="GZ135" s="296"/>
      <c r="HA135" s="296"/>
      <c r="HB135" s="296"/>
      <c r="HC135" s="296"/>
      <c r="HD135" s="296"/>
      <c r="HE135" s="296"/>
      <c r="HF135" s="296"/>
      <c r="HG135" s="296"/>
      <c r="HH135" s="296"/>
      <c r="HI135" s="296"/>
      <c r="HJ135" s="296"/>
      <c r="HK135" s="296"/>
      <c r="HL135" s="296"/>
      <c r="HM135" s="296"/>
      <c r="HN135" s="296"/>
      <c r="HO135" s="296"/>
      <c r="HP135" s="296"/>
      <c r="HQ135" s="296"/>
      <c r="HR135" s="296"/>
      <c r="HS135" s="296"/>
      <c r="HT135" s="296"/>
      <c r="HU135" s="296"/>
      <c r="HV135" s="296"/>
      <c r="HW135" s="296"/>
      <c r="HX135" s="296"/>
      <c r="HY135" s="296"/>
      <c r="HZ135" s="296"/>
      <c r="IA135" s="296"/>
      <c r="IB135" s="296"/>
      <c r="IC135" s="296"/>
      <c r="ID135" s="296"/>
      <c r="IE135" s="296"/>
      <c r="IF135" s="296"/>
      <c r="IG135" s="296"/>
      <c r="IH135" s="296"/>
      <c r="II135" s="296"/>
      <c r="IJ135" s="296"/>
      <c r="IK135" s="296"/>
      <c r="IL135" s="296"/>
      <c r="IM135" s="296"/>
      <c r="IN135" s="296"/>
      <c r="IO135" s="296"/>
      <c r="IP135" s="296"/>
      <c r="IQ135" s="296"/>
      <c r="IR135" s="296"/>
      <c r="IS135" s="296"/>
      <c r="IT135" s="296"/>
      <c r="IU135" s="296"/>
      <c r="IV135" s="296"/>
    </row>
    <row r="136" spans="1:256" customFormat="1" ht="12.75" customHeight="1">
      <c r="A136" s="296"/>
      <c r="B136" s="296"/>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296"/>
      <c r="AY136" s="296"/>
      <c r="AZ136" s="296"/>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c r="CA136" s="296"/>
      <c r="CB136" s="296"/>
      <c r="CC136" s="296"/>
      <c r="CD136" s="296"/>
      <c r="CE136" s="296"/>
      <c r="CF136" s="296"/>
      <c r="CG136" s="296"/>
      <c r="CH136" s="296"/>
      <c r="CI136" s="296"/>
      <c r="CJ136" s="296"/>
      <c r="CK136" s="296"/>
      <c r="CL136" s="296"/>
      <c r="CM136" s="296"/>
      <c r="CN136" s="296"/>
      <c r="CO136" s="296"/>
      <c r="CP136" s="296"/>
      <c r="CQ136" s="296"/>
      <c r="CR136" s="296"/>
      <c r="CS136" s="296"/>
      <c r="CT136" s="296"/>
      <c r="CU136" s="296"/>
      <c r="CV136" s="296"/>
      <c r="CW136" s="296"/>
      <c r="CX136" s="296"/>
      <c r="CY136" s="296"/>
      <c r="CZ136" s="296"/>
      <c r="DA136" s="296"/>
      <c r="DB136" s="296"/>
      <c r="DC136" s="296"/>
      <c r="DD136" s="296"/>
      <c r="DE136" s="296"/>
      <c r="DF136" s="296"/>
      <c r="DG136" s="296"/>
      <c r="DH136" s="296"/>
      <c r="DI136" s="296"/>
      <c r="DJ136" s="296"/>
      <c r="DK136" s="296"/>
      <c r="DL136" s="296"/>
      <c r="DM136" s="296"/>
      <c r="DN136" s="296"/>
      <c r="DO136" s="296"/>
      <c r="DP136" s="296"/>
      <c r="DQ136" s="296"/>
      <c r="DR136" s="296"/>
      <c r="DS136" s="296"/>
      <c r="DT136" s="296"/>
      <c r="DU136" s="296"/>
      <c r="DV136" s="296"/>
      <c r="DW136" s="296"/>
      <c r="DX136" s="296"/>
      <c r="DY136" s="296"/>
      <c r="DZ136" s="296"/>
      <c r="EA136" s="296"/>
      <c r="EB136" s="296"/>
      <c r="EC136" s="296"/>
      <c r="ED136" s="296"/>
      <c r="EE136" s="296"/>
      <c r="EF136" s="296"/>
      <c r="EG136" s="296"/>
      <c r="EH136" s="296"/>
      <c r="EI136" s="296"/>
      <c r="EJ136" s="296"/>
      <c r="EK136" s="296"/>
      <c r="EL136" s="296"/>
      <c r="EM136" s="296"/>
      <c r="EN136" s="296"/>
      <c r="EO136" s="296"/>
      <c r="EP136" s="296"/>
      <c r="EQ136" s="296"/>
      <c r="ER136" s="296"/>
      <c r="ES136" s="296"/>
      <c r="ET136" s="296"/>
      <c r="EU136" s="296"/>
      <c r="EV136" s="296"/>
      <c r="EW136" s="296"/>
      <c r="EX136" s="296"/>
      <c r="EY136" s="296"/>
      <c r="EZ136" s="296"/>
      <c r="FA136" s="296"/>
      <c r="FB136" s="296"/>
      <c r="FC136" s="296"/>
      <c r="FD136" s="296"/>
      <c r="FE136" s="296"/>
      <c r="FF136" s="296"/>
      <c r="FG136" s="296"/>
      <c r="FH136" s="296"/>
      <c r="FI136" s="296"/>
      <c r="FJ136" s="296"/>
      <c r="FK136" s="296"/>
      <c r="FL136" s="296"/>
      <c r="FM136" s="296"/>
      <c r="FN136" s="296"/>
      <c r="FO136" s="296"/>
      <c r="FP136" s="296"/>
      <c r="FQ136" s="296"/>
      <c r="FR136" s="296"/>
      <c r="FS136" s="296"/>
      <c r="FT136" s="296"/>
      <c r="FU136" s="296"/>
      <c r="FV136" s="296"/>
      <c r="FW136" s="296"/>
      <c r="FX136" s="296"/>
      <c r="FY136" s="296"/>
      <c r="FZ136" s="296"/>
      <c r="GA136" s="296"/>
      <c r="GB136" s="296"/>
      <c r="GC136" s="296"/>
      <c r="GD136" s="296"/>
      <c r="GE136" s="296"/>
      <c r="GF136" s="296"/>
      <c r="GG136" s="296"/>
      <c r="GH136" s="296"/>
      <c r="GI136" s="296"/>
      <c r="GJ136" s="296"/>
      <c r="GK136" s="296"/>
      <c r="GL136" s="296"/>
      <c r="GM136" s="296"/>
      <c r="GN136" s="296"/>
      <c r="GO136" s="296"/>
      <c r="GP136" s="296"/>
      <c r="GQ136" s="296"/>
      <c r="GR136" s="296"/>
      <c r="GS136" s="296"/>
      <c r="GT136" s="296"/>
      <c r="GU136" s="296"/>
      <c r="GV136" s="296"/>
      <c r="GW136" s="296"/>
      <c r="GX136" s="296"/>
      <c r="GY136" s="296"/>
      <c r="GZ136" s="296"/>
      <c r="HA136" s="296"/>
      <c r="HB136" s="296"/>
      <c r="HC136" s="296"/>
      <c r="HD136" s="296"/>
      <c r="HE136" s="296"/>
      <c r="HF136" s="296"/>
      <c r="HG136" s="296"/>
      <c r="HH136" s="296"/>
      <c r="HI136" s="296"/>
      <c r="HJ136" s="296"/>
      <c r="HK136" s="296"/>
      <c r="HL136" s="296"/>
      <c r="HM136" s="296"/>
      <c r="HN136" s="296"/>
      <c r="HO136" s="296"/>
      <c r="HP136" s="296"/>
      <c r="HQ136" s="296"/>
      <c r="HR136" s="296"/>
      <c r="HS136" s="296"/>
      <c r="HT136" s="296"/>
      <c r="HU136" s="296"/>
      <c r="HV136" s="296"/>
      <c r="HW136" s="296"/>
      <c r="HX136" s="296"/>
      <c r="HY136" s="296"/>
      <c r="HZ136" s="296"/>
      <c r="IA136" s="296"/>
      <c r="IB136" s="296"/>
      <c r="IC136" s="296"/>
      <c r="ID136" s="296"/>
      <c r="IE136" s="296"/>
      <c r="IF136" s="296"/>
      <c r="IG136" s="296"/>
      <c r="IH136" s="296"/>
      <c r="II136" s="296"/>
      <c r="IJ136" s="296"/>
      <c r="IK136" s="296"/>
      <c r="IL136" s="296"/>
      <c r="IM136" s="296"/>
      <c r="IN136" s="296"/>
      <c r="IO136" s="296"/>
      <c r="IP136" s="296"/>
      <c r="IQ136" s="296"/>
      <c r="IR136" s="296"/>
      <c r="IS136" s="296"/>
      <c r="IT136" s="296"/>
      <c r="IU136" s="296"/>
      <c r="IV136" s="296"/>
    </row>
    <row r="137" spans="1:256" customFormat="1" ht="12.75" customHeight="1">
      <c r="A137" s="296"/>
      <c r="B137" s="296"/>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6"/>
      <c r="AZ137" s="296"/>
      <c r="BA137" s="296"/>
      <c r="BB137" s="296"/>
      <c r="BC137" s="296"/>
      <c r="BD137" s="296"/>
      <c r="BE137" s="296"/>
      <c r="BF137" s="296"/>
      <c r="BG137" s="296"/>
      <c r="BH137" s="296"/>
      <c r="BI137" s="296"/>
      <c r="BJ137" s="296"/>
      <c r="BK137" s="296"/>
      <c r="BL137" s="296"/>
      <c r="BM137" s="296"/>
      <c r="BN137" s="296"/>
      <c r="BO137" s="296"/>
      <c r="BP137" s="296"/>
      <c r="BQ137" s="296"/>
      <c r="BR137" s="296"/>
      <c r="BS137" s="296"/>
      <c r="BT137" s="296"/>
      <c r="BU137" s="296"/>
      <c r="BV137" s="296"/>
      <c r="BW137" s="296"/>
      <c r="BX137" s="296"/>
      <c r="BY137" s="296"/>
      <c r="BZ137" s="296"/>
      <c r="CA137" s="296"/>
      <c r="CB137" s="296"/>
      <c r="CC137" s="296"/>
      <c r="CD137" s="296"/>
      <c r="CE137" s="296"/>
      <c r="CF137" s="296"/>
      <c r="CG137" s="296"/>
      <c r="CH137" s="296"/>
      <c r="CI137" s="296"/>
      <c r="CJ137" s="296"/>
      <c r="CK137" s="296"/>
      <c r="CL137" s="296"/>
      <c r="CM137" s="296"/>
      <c r="CN137" s="296"/>
      <c r="CO137" s="296"/>
      <c r="CP137" s="296"/>
      <c r="CQ137" s="296"/>
      <c r="CR137" s="296"/>
      <c r="CS137" s="296"/>
      <c r="CT137" s="296"/>
      <c r="CU137" s="296"/>
      <c r="CV137" s="296"/>
      <c r="CW137" s="296"/>
      <c r="CX137" s="296"/>
      <c r="CY137" s="296"/>
      <c r="CZ137" s="296"/>
      <c r="DA137" s="296"/>
      <c r="DB137" s="296"/>
      <c r="DC137" s="296"/>
      <c r="DD137" s="296"/>
      <c r="DE137" s="296"/>
      <c r="DF137" s="296"/>
      <c r="DG137" s="296"/>
      <c r="DH137" s="296"/>
      <c r="DI137" s="296"/>
      <c r="DJ137" s="296"/>
      <c r="DK137" s="296"/>
      <c r="DL137" s="296"/>
      <c r="DM137" s="296"/>
      <c r="DN137" s="296"/>
      <c r="DO137" s="296"/>
      <c r="DP137" s="296"/>
      <c r="DQ137" s="296"/>
      <c r="DR137" s="296"/>
      <c r="DS137" s="296"/>
      <c r="DT137" s="296"/>
      <c r="DU137" s="296"/>
      <c r="DV137" s="296"/>
      <c r="DW137" s="296"/>
      <c r="DX137" s="296"/>
      <c r="DY137" s="296"/>
      <c r="DZ137" s="296"/>
      <c r="EA137" s="296"/>
      <c r="EB137" s="296"/>
      <c r="EC137" s="296"/>
      <c r="ED137" s="296"/>
      <c r="EE137" s="296"/>
      <c r="EF137" s="296"/>
      <c r="EG137" s="296"/>
      <c r="EH137" s="296"/>
      <c r="EI137" s="296"/>
      <c r="EJ137" s="296"/>
      <c r="EK137" s="296"/>
      <c r="EL137" s="296"/>
      <c r="EM137" s="296"/>
      <c r="EN137" s="296"/>
      <c r="EO137" s="296"/>
      <c r="EP137" s="296"/>
      <c r="EQ137" s="296"/>
      <c r="ER137" s="296"/>
      <c r="ES137" s="296"/>
      <c r="ET137" s="296"/>
      <c r="EU137" s="296"/>
      <c r="EV137" s="296"/>
      <c r="EW137" s="296"/>
      <c r="EX137" s="296"/>
      <c r="EY137" s="296"/>
      <c r="EZ137" s="296"/>
      <c r="FA137" s="296"/>
      <c r="FB137" s="296"/>
      <c r="FC137" s="296"/>
      <c r="FD137" s="296"/>
      <c r="FE137" s="296"/>
      <c r="FF137" s="296"/>
      <c r="FG137" s="296"/>
      <c r="FH137" s="296"/>
      <c r="FI137" s="296"/>
      <c r="FJ137" s="296"/>
      <c r="FK137" s="296"/>
      <c r="FL137" s="296"/>
      <c r="FM137" s="296"/>
      <c r="FN137" s="296"/>
      <c r="FO137" s="296"/>
      <c r="FP137" s="296"/>
      <c r="FQ137" s="296"/>
      <c r="FR137" s="296"/>
      <c r="FS137" s="296"/>
      <c r="FT137" s="296"/>
      <c r="FU137" s="296"/>
      <c r="FV137" s="296"/>
      <c r="FW137" s="296"/>
      <c r="FX137" s="296"/>
      <c r="FY137" s="296"/>
      <c r="FZ137" s="296"/>
      <c r="GA137" s="296"/>
      <c r="GB137" s="296"/>
      <c r="GC137" s="296"/>
      <c r="GD137" s="296"/>
      <c r="GE137" s="296"/>
      <c r="GF137" s="296"/>
      <c r="GG137" s="296"/>
      <c r="GH137" s="296"/>
      <c r="GI137" s="296"/>
      <c r="GJ137" s="296"/>
      <c r="GK137" s="296"/>
      <c r="GL137" s="296"/>
      <c r="GM137" s="296"/>
      <c r="GN137" s="296"/>
      <c r="GO137" s="296"/>
      <c r="GP137" s="296"/>
      <c r="GQ137" s="296"/>
      <c r="GR137" s="296"/>
      <c r="GS137" s="296"/>
      <c r="GT137" s="296"/>
      <c r="GU137" s="296"/>
      <c r="GV137" s="296"/>
      <c r="GW137" s="296"/>
      <c r="GX137" s="296"/>
      <c r="GY137" s="296"/>
      <c r="GZ137" s="296"/>
      <c r="HA137" s="296"/>
      <c r="HB137" s="296"/>
      <c r="HC137" s="296"/>
      <c r="HD137" s="296"/>
      <c r="HE137" s="296"/>
      <c r="HF137" s="296"/>
      <c r="HG137" s="296"/>
      <c r="HH137" s="296"/>
      <c r="HI137" s="296"/>
      <c r="HJ137" s="296"/>
      <c r="HK137" s="296"/>
      <c r="HL137" s="296"/>
      <c r="HM137" s="296"/>
      <c r="HN137" s="296"/>
      <c r="HO137" s="296"/>
      <c r="HP137" s="296"/>
      <c r="HQ137" s="296"/>
      <c r="HR137" s="296"/>
      <c r="HS137" s="296"/>
      <c r="HT137" s="296"/>
      <c r="HU137" s="296"/>
      <c r="HV137" s="296"/>
      <c r="HW137" s="296"/>
      <c r="HX137" s="296"/>
      <c r="HY137" s="296"/>
      <c r="HZ137" s="296"/>
      <c r="IA137" s="296"/>
      <c r="IB137" s="296"/>
      <c r="IC137" s="296"/>
      <c r="ID137" s="296"/>
      <c r="IE137" s="296"/>
      <c r="IF137" s="296"/>
      <c r="IG137" s="296"/>
      <c r="IH137" s="296"/>
      <c r="II137" s="296"/>
      <c r="IJ137" s="296"/>
      <c r="IK137" s="296"/>
      <c r="IL137" s="296"/>
      <c r="IM137" s="296"/>
      <c r="IN137" s="296"/>
      <c r="IO137" s="296"/>
      <c r="IP137" s="296"/>
      <c r="IQ137" s="296"/>
      <c r="IR137" s="296"/>
      <c r="IS137" s="296"/>
      <c r="IT137" s="296"/>
      <c r="IU137" s="296"/>
      <c r="IV137" s="296"/>
    </row>
    <row r="138" spans="1:256" customFormat="1" ht="12.75" customHeight="1">
      <c r="A138" s="296"/>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c r="AP138" s="296"/>
      <c r="AQ138" s="296"/>
      <c r="AR138" s="296"/>
      <c r="AS138" s="296"/>
      <c r="AT138" s="296"/>
      <c r="AU138" s="296"/>
      <c r="AV138" s="296"/>
      <c r="AW138" s="296"/>
      <c r="AX138" s="296"/>
      <c r="AY138" s="296"/>
      <c r="AZ138" s="296"/>
      <c r="BA138" s="296"/>
      <c r="BB138" s="296"/>
      <c r="BC138" s="296"/>
      <c r="BD138" s="296"/>
      <c r="BE138" s="296"/>
      <c r="BF138" s="296"/>
      <c r="BG138" s="296"/>
      <c r="BH138" s="296"/>
      <c r="BI138" s="296"/>
      <c r="BJ138" s="296"/>
      <c r="BK138" s="296"/>
      <c r="BL138" s="296"/>
      <c r="BM138" s="296"/>
      <c r="BN138" s="296"/>
      <c r="BO138" s="296"/>
      <c r="BP138" s="296"/>
      <c r="BQ138" s="296"/>
      <c r="BR138" s="296"/>
      <c r="BS138" s="296"/>
      <c r="BT138" s="296"/>
      <c r="BU138" s="296"/>
      <c r="BV138" s="296"/>
      <c r="BW138" s="296"/>
      <c r="BX138" s="296"/>
      <c r="BY138" s="296"/>
      <c r="BZ138" s="296"/>
      <c r="CA138" s="296"/>
      <c r="CB138" s="296"/>
      <c r="CC138" s="296"/>
      <c r="CD138" s="296"/>
      <c r="CE138" s="296"/>
      <c r="CF138" s="296"/>
      <c r="CG138" s="296"/>
      <c r="CH138" s="296"/>
      <c r="CI138" s="296"/>
      <c r="CJ138" s="296"/>
      <c r="CK138" s="296"/>
      <c r="CL138" s="296"/>
      <c r="CM138" s="296"/>
      <c r="CN138" s="296"/>
      <c r="CO138" s="296"/>
      <c r="CP138" s="296"/>
      <c r="CQ138" s="296"/>
      <c r="CR138" s="296"/>
      <c r="CS138" s="296"/>
      <c r="CT138" s="296"/>
      <c r="CU138" s="296"/>
      <c r="CV138" s="296"/>
      <c r="CW138" s="296"/>
      <c r="CX138" s="296"/>
      <c r="CY138" s="296"/>
      <c r="CZ138" s="296"/>
      <c r="DA138" s="296"/>
      <c r="DB138" s="296"/>
      <c r="DC138" s="296"/>
      <c r="DD138" s="296"/>
      <c r="DE138" s="296"/>
      <c r="DF138" s="296"/>
      <c r="DG138" s="296"/>
      <c r="DH138" s="296"/>
      <c r="DI138" s="296"/>
      <c r="DJ138" s="296"/>
      <c r="DK138" s="296"/>
      <c r="DL138" s="296"/>
      <c r="DM138" s="296"/>
      <c r="DN138" s="296"/>
      <c r="DO138" s="296"/>
      <c r="DP138" s="296"/>
      <c r="DQ138" s="296"/>
      <c r="DR138" s="296"/>
      <c r="DS138" s="296"/>
      <c r="DT138" s="296"/>
      <c r="DU138" s="296"/>
      <c r="DV138" s="296"/>
      <c r="DW138" s="296"/>
      <c r="DX138" s="296"/>
      <c r="DY138" s="296"/>
      <c r="DZ138" s="296"/>
      <c r="EA138" s="296"/>
      <c r="EB138" s="296"/>
      <c r="EC138" s="296"/>
      <c r="ED138" s="296"/>
      <c r="EE138" s="296"/>
      <c r="EF138" s="296"/>
      <c r="EG138" s="296"/>
      <c r="EH138" s="296"/>
      <c r="EI138" s="296"/>
      <c r="EJ138" s="296"/>
      <c r="EK138" s="296"/>
      <c r="EL138" s="296"/>
      <c r="EM138" s="296"/>
      <c r="EN138" s="296"/>
      <c r="EO138" s="296"/>
      <c r="EP138" s="296"/>
      <c r="EQ138" s="296"/>
      <c r="ER138" s="296"/>
      <c r="ES138" s="296"/>
      <c r="ET138" s="296"/>
      <c r="EU138" s="296"/>
      <c r="EV138" s="296"/>
      <c r="EW138" s="296"/>
      <c r="EX138" s="296"/>
      <c r="EY138" s="296"/>
      <c r="EZ138" s="296"/>
      <c r="FA138" s="296"/>
      <c r="FB138" s="296"/>
      <c r="FC138" s="296"/>
      <c r="FD138" s="296"/>
      <c r="FE138" s="296"/>
      <c r="FF138" s="296"/>
      <c r="FG138" s="296"/>
      <c r="FH138" s="296"/>
      <c r="FI138" s="296"/>
      <c r="FJ138" s="296"/>
      <c r="FK138" s="296"/>
      <c r="FL138" s="296"/>
      <c r="FM138" s="296"/>
      <c r="FN138" s="296"/>
      <c r="FO138" s="296"/>
      <c r="FP138" s="296"/>
      <c r="FQ138" s="296"/>
      <c r="FR138" s="296"/>
      <c r="FS138" s="296"/>
      <c r="FT138" s="296"/>
      <c r="FU138" s="296"/>
      <c r="FV138" s="296"/>
      <c r="FW138" s="296"/>
      <c r="FX138" s="296"/>
      <c r="FY138" s="296"/>
      <c r="FZ138" s="296"/>
      <c r="GA138" s="296"/>
      <c r="GB138" s="296"/>
      <c r="GC138" s="296"/>
      <c r="GD138" s="296"/>
      <c r="GE138" s="296"/>
      <c r="GF138" s="296"/>
      <c r="GG138" s="296"/>
      <c r="GH138" s="296"/>
      <c r="GI138" s="296"/>
      <c r="GJ138" s="296"/>
      <c r="GK138" s="296"/>
      <c r="GL138" s="296"/>
      <c r="GM138" s="296"/>
      <c r="GN138" s="296"/>
      <c r="GO138" s="296"/>
      <c r="GP138" s="296"/>
      <c r="GQ138" s="296"/>
      <c r="GR138" s="296"/>
      <c r="GS138" s="296"/>
      <c r="GT138" s="296"/>
      <c r="GU138" s="296"/>
      <c r="GV138" s="296"/>
      <c r="GW138" s="296"/>
      <c r="GX138" s="296"/>
      <c r="GY138" s="296"/>
      <c r="GZ138" s="296"/>
      <c r="HA138" s="296"/>
      <c r="HB138" s="296"/>
      <c r="HC138" s="296"/>
      <c r="HD138" s="296"/>
      <c r="HE138" s="296"/>
      <c r="HF138" s="296"/>
      <c r="HG138" s="296"/>
      <c r="HH138" s="296"/>
      <c r="HI138" s="296"/>
      <c r="HJ138" s="296"/>
      <c r="HK138" s="296"/>
      <c r="HL138" s="296"/>
      <c r="HM138" s="296"/>
      <c r="HN138" s="296"/>
      <c r="HO138" s="296"/>
      <c r="HP138" s="296"/>
      <c r="HQ138" s="296"/>
      <c r="HR138" s="296"/>
      <c r="HS138" s="296"/>
      <c r="HT138" s="296"/>
      <c r="HU138" s="296"/>
      <c r="HV138" s="296"/>
      <c r="HW138" s="296"/>
      <c r="HX138" s="296"/>
      <c r="HY138" s="296"/>
      <c r="HZ138" s="296"/>
      <c r="IA138" s="296"/>
      <c r="IB138" s="296"/>
      <c r="IC138" s="296"/>
      <c r="ID138" s="296"/>
      <c r="IE138" s="296"/>
      <c r="IF138" s="296"/>
      <c r="IG138" s="296"/>
      <c r="IH138" s="296"/>
      <c r="II138" s="296"/>
      <c r="IJ138" s="296"/>
      <c r="IK138" s="296"/>
      <c r="IL138" s="296"/>
      <c r="IM138" s="296"/>
      <c r="IN138" s="296"/>
      <c r="IO138" s="296"/>
      <c r="IP138" s="296"/>
      <c r="IQ138" s="296"/>
      <c r="IR138" s="296"/>
      <c r="IS138" s="296"/>
      <c r="IT138" s="296"/>
      <c r="IU138" s="296"/>
      <c r="IV138" s="296"/>
    </row>
    <row r="139" spans="1:256" customFormat="1" ht="12.75"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c r="CA139" s="296"/>
      <c r="CB139" s="296"/>
      <c r="CC139" s="296"/>
      <c r="CD139" s="296"/>
      <c r="CE139" s="296"/>
      <c r="CF139" s="296"/>
      <c r="CG139" s="296"/>
      <c r="CH139" s="296"/>
      <c r="CI139" s="296"/>
      <c r="CJ139" s="296"/>
      <c r="CK139" s="296"/>
      <c r="CL139" s="296"/>
      <c r="CM139" s="296"/>
      <c r="CN139" s="296"/>
      <c r="CO139" s="296"/>
      <c r="CP139" s="296"/>
      <c r="CQ139" s="296"/>
      <c r="CR139" s="296"/>
      <c r="CS139" s="296"/>
      <c r="CT139" s="296"/>
      <c r="CU139" s="296"/>
      <c r="CV139" s="296"/>
      <c r="CW139" s="296"/>
      <c r="CX139" s="296"/>
      <c r="CY139" s="296"/>
      <c r="CZ139" s="296"/>
      <c r="DA139" s="296"/>
      <c r="DB139" s="296"/>
      <c r="DC139" s="296"/>
      <c r="DD139" s="296"/>
      <c r="DE139" s="296"/>
      <c r="DF139" s="296"/>
      <c r="DG139" s="296"/>
      <c r="DH139" s="296"/>
      <c r="DI139" s="296"/>
      <c r="DJ139" s="296"/>
      <c r="DK139" s="296"/>
      <c r="DL139" s="296"/>
      <c r="DM139" s="296"/>
      <c r="DN139" s="296"/>
      <c r="DO139" s="296"/>
      <c r="DP139" s="296"/>
      <c r="DQ139" s="296"/>
      <c r="DR139" s="296"/>
      <c r="DS139" s="296"/>
      <c r="DT139" s="296"/>
      <c r="DU139" s="296"/>
      <c r="DV139" s="296"/>
      <c r="DW139" s="296"/>
      <c r="DX139" s="296"/>
      <c r="DY139" s="296"/>
      <c r="DZ139" s="296"/>
      <c r="EA139" s="296"/>
      <c r="EB139" s="296"/>
      <c r="EC139" s="296"/>
      <c r="ED139" s="296"/>
      <c r="EE139" s="296"/>
      <c r="EF139" s="296"/>
      <c r="EG139" s="296"/>
      <c r="EH139" s="296"/>
      <c r="EI139" s="296"/>
      <c r="EJ139" s="296"/>
      <c r="EK139" s="296"/>
      <c r="EL139" s="296"/>
      <c r="EM139" s="296"/>
      <c r="EN139" s="296"/>
      <c r="EO139" s="296"/>
      <c r="EP139" s="296"/>
      <c r="EQ139" s="296"/>
      <c r="ER139" s="296"/>
      <c r="ES139" s="296"/>
      <c r="ET139" s="296"/>
      <c r="EU139" s="296"/>
      <c r="EV139" s="296"/>
      <c r="EW139" s="296"/>
      <c r="EX139" s="296"/>
      <c r="EY139" s="296"/>
      <c r="EZ139" s="296"/>
      <c r="FA139" s="296"/>
      <c r="FB139" s="296"/>
      <c r="FC139" s="296"/>
      <c r="FD139" s="296"/>
      <c r="FE139" s="296"/>
      <c r="FF139" s="296"/>
      <c r="FG139" s="296"/>
      <c r="FH139" s="296"/>
      <c r="FI139" s="296"/>
      <c r="FJ139" s="296"/>
      <c r="FK139" s="296"/>
      <c r="FL139" s="296"/>
      <c r="FM139" s="296"/>
      <c r="FN139" s="296"/>
      <c r="FO139" s="296"/>
      <c r="FP139" s="296"/>
      <c r="FQ139" s="296"/>
      <c r="FR139" s="296"/>
      <c r="FS139" s="296"/>
      <c r="FT139" s="296"/>
      <c r="FU139" s="296"/>
      <c r="FV139" s="296"/>
      <c r="FW139" s="296"/>
      <c r="FX139" s="296"/>
      <c r="FY139" s="296"/>
      <c r="FZ139" s="296"/>
      <c r="GA139" s="296"/>
      <c r="GB139" s="296"/>
      <c r="GC139" s="296"/>
      <c r="GD139" s="296"/>
      <c r="GE139" s="296"/>
      <c r="GF139" s="296"/>
      <c r="GG139" s="296"/>
      <c r="GH139" s="296"/>
      <c r="GI139" s="296"/>
      <c r="GJ139" s="296"/>
      <c r="GK139" s="296"/>
      <c r="GL139" s="296"/>
      <c r="GM139" s="296"/>
      <c r="GN139" s="296"/>
      <c r="GO139" s="296"/>
      <c r="GP139" s="296"/>
      <c r="GQ139" s="296"/>
      <c r="GR139" s="296"/>
      <c r="GS139" s="296"/>
      <c r="GT139" s="296"/>
      <c r="GU139" s="296"/>
      <c r="GV139" s="296"/>
      <c r="GW139" s="296"/>
      <c r="GX139" s="296"/>
      <c r="GY139" s="296"/>
      <c r="GZ139" s="296"/>
      <c r="HA139" s="296"/>
      <c r="HB139" s="296"/>
      <c r="HC139" s="296"/>
      <c r="HD139" s="296"/>
      <c r="HE139" s="296"/>
      <c r="HF139" s="296"/>
      <c r="HG139" s="296"/>
      <c r="HH139" s="296"/>
      <c r="HI139" s="296"/>
      <c r="HJ139" s="296"/>
      <c r="HK139" s="296"/>
      <c r="HL139" s="296"/>
      <c r="HM139" s="296"/>
      <c r="HN139" s="296"/>
      <c r="HO139" s="296"/>
      <c r="HP139" s="296"/>
      <c r="HQ139" s="296"/>
      <c r="HR139" s="296"/>
      <c r="HS139" s="296"/>
      <c r="HT139" s="296"/>
      <c r="HU139" s="296"/>
      <c r="HV139" s="296"/>
      <c r="HW139" s="296"/>
      <c r="HX139" s="296"/>
      <c r="HY139" s="296"/>
      <c r="HZ139" s="296"/>
      <c r="IA139" s="296"/>
      <c r="IB139" s="296"/>
      <c r="IC139" s="296"/>
      <c r="ID139" s="296"/>
      <c r="IE139" s="296"/>
      <c r="IF139" s="296"/>
      <c r="IG139" s="296"/>
      <c r="IH139" s="296"/>
      <c r="II139" s="296"/>
      <c r="IJ139" s="296"/>
      <c r="IK139" s="296"/>
      <c r="IL139" s="296"/>
      <c r="IM139" s="296"/>
      <c r="IN139" s="296"/>
      <c r="IO139" s="296"/>
      <c r="IP139" s="296"/>
      <c r="IQ139" s="296"/>
      <c r="IR139" s="296"/>
      <c r="IS139" s="296"/>
      <c r="IT139" s="296"/>
      <c r="IU139" s="296"/>
      <c r="IV139" s="296"/>
    </row>
    <row r="140" spans="1:256" customFormat="1" ht="12.75" customHeight="1">
      <c r="A140" s="296"/>
      <c r="B140" s="296"/>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c r="CA140" s="296"/>
      <c r="CB140" s="296"/>
      <c r="CC140" s="296"/>
      <c r="CD140" s="296"/>
      <c r="CE140" s="296"/>
      <c r="CF140" s="296"/>
      <c r="CG140" s="296"/>
      <c r="CH140" s="296"/>
      <c r="CI140" s="296"/>
      <c r="CJ140" s="296"/>
      <c r="CK140" s="296"/>
      <c r="CL140" s="296"/>
      <c r="CM140" s="296"/>
      <c r="CN140" s="296"/>
      <c r="CO140" s="296"/>
      <c r="CP140" s="296"/>
      <c r="CQ140" s="296"/>
      <c r="CR140" s="296"/>
      <c r="CS140" s="296"/>
      <c r="CT140" s="296"/>
      <c r="CU140" s="296"/>
      <c r="CV140" s="296"/>
      <c r="CW140" s="296"/>
      <c r="CX140" s="296"/>
      <c r="CY140" s="296"/>
      <c r="CZ140" s="296"/>
      <c r="DA140" s="296"/>
      <c r="DB140" s="296"/>
      <c r="DC140" s="296"/>
      <c r="DD140" s="296"/>
      <c r="DE140" s="296"/>
      <c r="DF140" s="296"/>
      <c r="DG140" s="296"/>
      <c r="DH140" s="296"/>
      <c r="DI140" s="296"/>
      <c r="DJ140" s="296"/>
      <c r="DK140" s="296"/>
      <c r="DL140" s="296"/>
      <c r="DM140" s="296"/>
      <c r="DN140" s="296"/>
      <c r="DO140" s="296"/>
      <c r="DP140" s="296"/>
      <c r="DQ140" s="296"/>
      <c r="DR140" s="296"/>
      <c r="DS140" s="296"/>
      <c r="DT140" s="296"/>
      <c r="DU140" s="296"/>
      <c r="DV140" s="296"/>
      <c r="DW140" s="296"/>
      <c r="DX140" s="296"/>
      <c r="DY140" s="296"/>
      <c r="DZ140" s="296"/>
      <c r="EA140" s="296"/>
      <c r="EB140" s="296"/>
      <c r="EC140" s="296"/>
      <c r="ED140" s="296"/>
      <c r="EE140" s="296"/>
      <c r="EF140" s="296"/>
      <c r="EG140" s="296"/>
      <c r="EH140" s="296"/>
      <c r="EI140" s="296"/>
      <c r="EJ140" s="296"/>
      <c r="EK140" s="296"/>
      <c r="EL140" s="296"/>
      <c r="EM140" s="296"/>
      <c r="EN140" s="296"/>
      <c r="EO140" s="296"/>
      <c r="EP140" s="296"/>
      <c r="EQ140" s="296"/>
      <c r="ER140" s="296"/>
      <c r="ES140" s="296"/>
      <c r="ET140" s="296"/>
      <c r="EU140" s="296"/>
      <c r="EV140" s="296"/>
      <c r="EW140" s="296"/>
      <c r="EX140" s="296"/>
      <c r="EY140" s="296"/>
      <c r="EZ140" s="296"/>
      <c r="FA140" s="296"/>
      <c r="FB140" s="296"/>
      <c r="FC140" s="296"/>
      <c r="FD140" s="296"/>
      <c r="FE140" s="296"/>
      <c r="FF140" s="296"/>
      <c r="FG140" s="296"/>
      <c r="FH140" s="296"/>
      <c r="FI140" s="296"/>
      <c r="FJ140" s="296"/>
      <c r="FK140" s="296"/>
      <c r="FL140" s="296"/>
      <c r="FM140" s="296"/>
      <c r="FN140" s="296"/>
      <c r="FO140" s="296"/>
      <c r="FP140" s="296"/>
      <c r="FQ140" s="296"/>
      <c r="FR140" s="296"/>
      <c r="FS140" s="296"/>
      <c r="FT140" s="296"/>
      <c r="FU140" s="296"/>
      <c r="FV140" s="296"/>
      <c r="FW140" s="296"/>
      <c r="FX140" s="296"/>
      <c r="FY140" s="296"/>
      <c r="FZ140" s="296"/>
      <c r="GA140" s="296"/>
      <c r="GB140" s="296"/>
      <c r="GC140" s="296"/>
      <c r="GD140" s="296"/>
      <c r="GE140" s="296"/>
      <c r="GF140" s="296"/>
      <c r="GG140" s="296"/>
      <c r="GH140" s="296"/>
      <c r="GI140" s="296"/>
      <c r="GJ140" s="296"/>
      <c r="GK140" s="296"/>
      <c r="GL140" s="296"/>
      <c r="GM140" s="296"/>
      <c r="GN140" s="296"/>
      <c r="GO140" s="296"/>
      <c r="GP140" s="296"/>
      <c r="GQ140" s="296"/>
      <c r="GR140" s="296"/>
      <c r="GS140" s="296"/>
      <c r="GT140" s="296"/>
      <c r="GU140" s="296"/>
      <c r="GV140" s="296"/>
      <c r="GW140" s="296"/>
      <c r="GX140" s="296"/>
      <c r="GY140" s="296"/>
      <c r="GZ140" s="296"/>
      <c r="HA140" s="296"/>
      <c r="HB140" s="296"/>
      <c r="HC140" s="296"/>
      <c r="HD140" s="296"/>
      <c r="HE140" s="296"/>
      <c r="HF140" s="296"/>
      <c r="HG140" s="296"/>
      <c r="HH140" s="296"/>
      <c r="HI140" s="296"/>
      <c r="HJ140" s="296"/>
      <c r="HK140" s="296"/>
      <c r="HL140" s="296"/>
      <c r="HM140" s="296"/>
      <c r="HN140" s="296"/>
      <c r="HO140" s="296"/>
      <c r="HP140" s="296"/>
      <c r="HQ140" s="296"/>
      <c r="HR140" s="296"/>
      <c r="HS140" s="296"/>
      <c r="HT140" s="296"/>
      <c r="HU140" s="296"/>
      <c r="HV140" s="296"/>
      <c r="HW140" s="296"/>
      <c r="HX140" s="296"/>
      <c r="HY140" s="296"/>
      <c r="HZ140" s="296"/>
      <c r="IA140" s="296"/>
      <c r="IB140" s="296"/>
      <c r="IC140" s="296"/>
      <c r="ID140" s="296"/>
      <c r="IE140" s="296"/>
      <c r="IF140" s="296"/>
      <c r="IG140" s="296"/>
      <c r="IH140" s="296"/>
      <c r="II140" s="296"/>
      <c r="IJ140" s="296"/>
      <c r="IK140" s="296"/>
      <c r="IL140" s="296"/>
      <c r="IM140" s="296"/>
      <c r="IN140" s="296"/>
      <c r="IO140" s="296"/>
      <c r="IP140" s="296"/>
      <c r="IQ140" s="296"/>
      <c r="IR140" s="296"/>
      <c r="IS140" s="296"/>
      <c r="IT140" s="296"/>
      <c r="IU140" s="296"/>
      <c r="IV140" s="296"/>
    </row>
    <row r="141" spans="1:256" customFormat="1" ht="12.75" customHeight="1">
      <c r="A141" s="296"/>
      <c r="B141" s="296"/>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296"/>
      <c r="CM141" s="296"/>
      <c r="CN141" s="296"/>
      <c r="CO141" s="296"/>
      <c r="CP141" s="296"/>
      <c r="CQ141" s="296"/>
      <c r="CR141" s="296"/>
      <c r="CS141" s="296"/>
      <c r="CT141" s="296"/>
      <c r="CU141" s="296"/>
      <c r="CV141" s="296"/>
      <c r="CW141" s="296"/>
      <c r="CX141" s="296"/>
      <c r="CY141" s="296"/>
      <c r="CZ141" s="296"/>
      <c r="DA141" s="296"/>
      <c r="DB141" s="296"/>
      <c r="DC141" s="296"/>
      <c r="DD141" s="296"/>
      <c r="DE141" s="296"/>
      <c r="DF141" s="296"/>
      <c r="DG141" s="296"/>
      <c r="DH141" s="296"/>
      <c r="DI141" s="296"/>
      <c r="DJ141" s="296"/>
      <c r="DK141" s="296"/>
      <c r="DL141" s="296"/>
      <c r="DM141" s="296"/>
      <c r="DN141" s="296"/>
      <c r="DO141" s="296"/>
      <c r="DP141" s="296"/>
      <c r="DQ141" s="296"/>
      <c r="DR141" s="296"/>
      <c r="DS141" s="296"/>
      <c r="DT141" s="296"/>
      <c r="DU141" s="296"/>
      <c r="DV141" s="296"/>
      <c r="DW141" s="296"/>
      <c r="DX141" s="296"/>
      <c r="DY141" s="296"/>
      <c r="DZ141" s="296"/>
      <c r="EA141" s="296"/>
      <c r="EB141" s="296"/>
      <c r="EC141" s="296"/>
      <c r="ED141" s="296"/>
      <c r="EE141" s="296"/>
      <c r="EF141" s="296"/>
      <c r="EG141" s="296"/>
      <c r="EH141" s="296"/>
      <c r="EI141" s="296"/>
      <c r="EJ141" s="296"/>
      <c r="EK141" s="296"/>
      <c r="EL141" s="296"/>
      <c r="EM141" s="296"/>
      <c r="EN141" s="296"/>
      <c r="EO141" s="296"/>
      <c r="EP141" s="296"/>
      <c r="EQ141" s="296"/>
      <c r="ER141" s="296"/>
      <c r="ES141" s="296"/>
      <c r="ET141" s="296"/>
      <c r="EU141" s="296"/>
      <c r="EV141" s="296"/>
      <c r="EW141" s="296"/>
      <c r="EX141" s="296"/>
      <c r="EY141" s="296"/>
      <c r="EZ141" s="296"/>
      <c r="FA141" s="296"/>
      <c r="FB141" s="296"/>
      <c r="FC141" s="296"/>
      <c r="FD141" s="296"/>
      <c r="FE141" s="296"/>
      <c r="FF141" s="296"/>
      <c r="FG141" s="296"/>
      <c r="FH141" s="296"/>
      <c r="FI141" s="296"/>
      <c r="FJ141" s="296"/>
      <c r="FK141" s="296"/>
      <c r="FL141" s="296"/>
      <c r="FM141" s="296"/>
      <c r="FN141" s="296"/>
      <c r="FO141" s="296"/>
      <c r="FP141" s="296"/>
      <c r="FQ141" s="296"/>
      <c r="FR141" s="296"/>
      <c r="FS141" s="296"/>
      <c r="FT141" s="296"/>
      <c r="FU141" s="296"/>
      <c r="FV141" s="296"/>
      <c r="FW141" s="296"/>
      <c r="FX141" s="296"/>
      <c r="FY141" s="296"/>
      <c r="FZ141" s="296"/>
      <c r="GA141" s="296"/>
      <c r="GB141" s="296"/>
      <c r="GC141" s="296"/>
      <c r="GD141" s="296"/>
      <c r="GE141" s="296"/>
      <c r="GF141" s="296"/>
      <c r="GG141" s="296"/>
      <c r="GH141" s="296"/>
      <c r="GI141" s="296"/>
      <c r="GJ141" s="296"/>
      <c r="GK141" s="296"/>
      <c r="GL141" s="296"/>
      <c r="GM141" s="296"/>
      <c r="GN141" s="296"/>
      <c r="GO141" s="296"/>
      <c r="GP141" s="296"/>
      <c r="GQ141" s="296"/>
      <c r="GR141" s="296"/>
      <c r="GS141" s="296"/>
      <c r="GT141" s="296"/>
      <c r="GU141" s="296"/>
      <c r="GV141" s="296"/>
      <c r="GW141" s="296"/>
      <c r="GX141" s="296"/>
      <c r="GY141" s="296"/>
      <c r="GZ141" s="296"/>
      <c r="HA141" s="296"/>
      <c r="HB141" s="296"/>
      <c r="HC141" s="296"/>
      <c r="HD141" s="296"/>
      <c r="HE141" s="296"/>
      <c r="HF141" s="296"/>
      <c r="HG141" s="296"/>
      <c r="HH141" s="296"/>
      <c r="HI141" s="296"/>
      <c r="HJ141" s="296"/>
      <c r="HK141" s="296"/>
      <c r="HL141" s="296"/>
      <c r="HM141" s="296"/>
      <c r="HN141" s="296"/>
      <c r="HO141" s="296"/>
      <c r="HP141" s="296"/>
      <c r="HQ141" s="296"/>
      <c r="HR141" s="296"/>
      <c r="HS141" s="296"/>
      <c r="HT141" s="296"/>
      <c r="HU141" s="296"/>
      <c r="HV141" s="296"/>
      <c r="HW141" s="296"/>
      <c r="HX141" s="296"/>
      <c r="HY141" s="296"/>
      <c r="HZ141" s="296"/>
      <c r="IA141" s="296"/>
      <c r="IB141" s="296"/>
      <c r="IC141" s="296"/>
      <c r="ID141" s="296"/>
      <c r="IE141" s="296"/>
      <c r="IF141" s="296"/>
      <c r="IG141" s="296"/>
      <c r="IH141" s="296"/>
      <c r="II141" s="296"/>
      <c r="IJ141" s="296"/>
      <c r="IK141" s="296"/>
      <c r="IL141" s="296"/>
      <c r="IM141" s="296"/>
      <c r="IN141" s="296"/>
      <c r="IO141" s="296"/>
      <c r="IP141" s="296"/>
      <c r="IQ141" s="296"/>
      <c r="IR141" s="296"/>
      <c r="IS141" s="296"/>
      <c r="IT141" s="296"/>
      <c r="IU141" s="296"/>
      <c r="IV141" s="296"/>
    </row>
    <row r="142" spans="1:256" customFormat="1" ht="12.75" customHeight="1">
      <c r="A142" s="296"/>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296"/>
      <c r="CM142" s="296"/>
      <c r="CN142" s="296"/>
      <c r="CO142" s="296"/>
      <c r="CP142" s="296"/>
      <c r="CQ142" s="296"/>
      <c r="CR142" s="296"/>
      <c r="CS142" s="296"/>
      <c r="CT142" s="296"/>
      <c r="CU142" s="296"/>
      <c r="CV142" s="296"/>
      <c r="CW142" s="296"/>
      <c r="CX142" s="296"/>
      <c r="CY142" s="296"/>
      <c r="CZ142" s="296"/>
      <c r="DA142" s="296"/>
      <c r="DB142" s="296"/>
      <c r="DC142" s="296"/>
      <c r="DD142" s="296"/>
      <c r="DE142" s="296"/>
      <c r="DF142" s="296"/>
      <c r="DG142" s="296"/>
      <c r="DH142" s="296"/>
      <c r="DI142" s="296"/>
      <c r="DJ142" s="296"/>
      <c r="DK142" s="296"/>
      <c r="DL142" s="296"/>
      <c r="DM142" s="296"/>
      <c r="DN142" s="296"/>
      <c r="DO142" s="296"/>
      <c r="DP142" s="296"/>
      <c r="DQ142" s="296"/>
      <c r="DR142" s="296"/>
      <c r="DS142" s="296"/>
      <c r="DT142" s="296"/>
      <c r="DU142" s="296"/>
      <c r="DV142" s="296"/>
      <c r="DW142" s="296"/>
      <c r="DX142" s="296"/>
      <c r="DY142" s="296"/>
      <c r="DZ142" s="296"/>
      <c r="EA142" s="296"/>
      <c r="EB142" s="296"/>
      <c r="EC142" s="296"/>
      <c r="ED142" s="296"/>
      <c r="EE142" s="296"/>
      <c r="EF142" s="296"/>
      <c r="EG142" s="296"/>
      <c r="EH142" s="296"/>
      <c r="EI142" s="296"/>
      <c r="EJ142" s="296"/>
      <c r="EK142" s="296"/>
      <c r="EL142" s="296"/>
      <c r="EM142" s="296"/>
      <c r="EN142" s="296"/>
      <c r="EO142" s="296"/>
      <c r="EP142" s="296"/>
      <c r="EQ142" s="296"/>
      <c r="ER142" s="296"/>
      <c r="ES142" s="296"/>
      <c r="ET142" s="296"/>
      <c r="EU142" s="296"/>
      <c r="EV142" s="296"/>
      <c r="EW142" s="296"/>
      <c r="EX142" s="296"/>
      <c r="EY142" s="296"/>
      <c r="EZ142" s="296"/>
      <c r="FA142" s="296"/>
      <c r="FB142" s="296"/>
      <c r="FC142" s="296"/>
      <c r="FD142" s="296"/>
      <c r="FE142" s="296"/>
      <c r="FF142" s="296"/>
      <c r="FG142" s="296"/>
      <c r="FH142" s="296"/>
      <c r="FI142" s="296"/>
      <c r="FJ142" s="296"/>
      <c r="FK142" s="296"/>
      <c r="FL142" s="296"/>
      <c r="FM142" s="296"/>
      <c r="FN142" s="296"/>
      <c r="FO142" s="296"/>
      <c r="FP142" s="296"/>
      <c r="FQ142" s="296"/>
      <c r="FR142" s="296"/>
      <c r="FS142" s="296"/>
      <c r="FT142" s="296"/>
      <c r="FU142" s="296"/>
      <c r="FV142" s="296"/>
      <c r="FW142" s="296"/>
      <c r="FX142" s="296"/>
      <c r="FY142" s="296"/>
      <c r="FZ142" s="296"/>
      <c r="GA142" s="296"/>
      <c r="GB142" s="296"/>
      <c r="GC142" s="296"/>
      <c r="GD142" s="296"/>
      <c r="GE142" s="296"/>
      <c r="GF142" s="296"/>
      <c r="GG142" s="296"/>
      <c r="GH142" s="296"/>
      <c r="GI142" s="296"/>
      <c r="GJ142" s="296"/>
      <c r="GK142" s="296"/>
      <c r="GL142" s="296"/>
      <c r="GM142" s="296"/>
      <c r="GN142" s="296"/>
      <c r="GO142" s="296"/>
      <c r="GP142" s="296"/>
      <c r="GQ142" s="296"/>
      <c r="GR142" s="296"/>
      <c r="GS142" s="296"/>
      <c r="GT142" s="296"/>
      <c r="GU142" s="296"/>
      <c r="GV142" s="296"/>
      <c r="GW142" s="296"/>
      <c r="GX142" s="296"/>
      <c r="GY142" s="296"/>
      <c r="GZ142" s="296"/>
      <c r="HA142" s="296"/>
      <c r="HB142" s="296"/>
      <c r="HC142" s="296"/>
      <c r="HD142" s="296"/>
      <c r="HE142" s="296"/>
      <c r="HF142" s="296"/>
      <c r="HG142" s="296"/>
      <c r="HH142" s="296"/>
      <c r="HI142" s="296"/>
      <c r="HJ142" s="296"/>
      <c r="HK142" s="296"/>
      <c r="HL142" s="296"/>
      <c r="HM142" s="296"/>
      <c r="HN142" s="296"/>
      <c r="HO142" s="296"/>
      <c r="HP142" s="296"/>
      <c r="HQ142" s="296"/>
      <c r="HR142" s="296"/>
      <c r="HS142" s="296"/>
      <c r="HT142" s="296"/>
      <c r="HU142" s="296"/>
      <c r="HV142" s="296"/>
      <c r="HW142" s="296"/>
      <c r="HX142" s="296"/>
      <c r="HY142" s="296"/>
      <c r="HZ142" s="296"/>
      <c r="IA142" s="296"/>
      <c r="IB142" s="296"/>
      <c r="IC142" s="296"/>
      <c r="ID142" s="296"/>
      <c r="IE142" s="296"/>
      <c r="IF142" s="296"/>
      <c r="IG142" s="296"/>
      <c r="IH142" s="296"/>
      <c r="II142" s="296"/>
      <c r="IJ142" s="296"/>
      <c r="IK142" s="296"/>
      <c r="IL142" s="296"/>
      <c r="IM142" s="296"/>
      <c r="IN142" s="296"/>
      <c r="IO142" s="296"/>
      <c r="IP142" s="296"/>
      <c r="IQ142" s="296"/>
      <c r="IR142" s="296"/>
      <c r="IS142" s="296"/>
      <c r="IT142" s="296"/>
      <c r="IU142" s="296"/>
      <c r="IV142" s="296"/>
    </row>
    <row r="143" spans="1:256" customFormat="1" ht="12.75" customHeight="1">
      <c r="A143" s="296"/>
      <c r="B143" s="296"/>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c r="AZ143" s="296"/>
      <c r="BA143" s="296"/>
      <c r="BB143" s="296"/>
      <c r="BC143" s="296"/>
      <c r="BD143" s="296"/>
      <c r="BE143" s="296"/>
      <c r="BF143" s="296"/>
      <c r="BG143" s="296"/>
      <c r="BH143" s="296"/>
      <c r="BI143" s="296"/>
      <c r="BJ143" s="296"/>
      <c r="BK143" s="296"/>
      <c r="BL143" s="296"/>
      <c r="BM143" s="296"/>
      <c r="BN143" s="296"/>
      <c r="BO143" s="296"/>
      <c r="BP143" s="296"/>
      <c r="BQ143" s="296"/>
      <c r="BR143" s="296"/>
      <c r="BS143" s="296"/>
      <c r="BT143" s="296"/>
      <c r="BU143" s="296"/>
      <c r="BV143" s="296"/>
      <c r="BW143" s="296"/>
      <c r="BX143" s="296"/>
      <c r="BY143" s="296"/>
      <c r="BZ143" s="296"/>
      <c r="CA143" s="296"/>
      <c r="CB143" s="296"/>
      <c r="CC143" s="296"/>
      <c r="CD143" s="296"/>
      <c r="CE143" s="296"/>
      <c r="CF143" s="296"/>
      <c r="CG143" s="296"/>
      <c r="CH143" s="296"/>
      <c r="CI143" s="296"/>
      <c r="CJ143" s="296"/>
      <c r="CK143" s="296"/>
      <c r="CL143" s="296"/>
      <c r="CM143" s="296"/>
      <c r="CN143" s="296"/>
      <c r="CO143" s="296"/>
      <c r="CP143" s="296"/>
      <c r="CQ143" s="296"/>
      <c r="CR143" s="296"/>
      <c r="CS143" s="296"/>
      <c r="CT143" s="296"/>
      <c r="CU143" s="296"/>
      <c r="CV143" s="296"/>
      <c r="CW143" s="296"/>
      <c r="CX143" s="296"/>
      <c r="CY143" s="296"/>
      <c r="CZ143" s="296"/>
      <c r="DA143" s="296"/>
      <c r="DB143" s="296"/>
      <c r="DC143" s="296"/>
      <c r="DD143" s="296"/>
      <c r="DE143" s="296"/>
      <c r="DF143" s="296"/>
      <c r="DG143" s="296"/>
      <c r="DH143" s="296"/>
      <c r="DI143" s="296"/>
      <c r="DJ143" s="296"/>
      <c r="DK143" s="296"/>
      <c r="DL143" s="296"/>
      <c r="DM143" s="296"/>
      <c r="DN143" s="296"/>
      <c r="DO143" s="296"/>
      <c r="DP143" s="296"/>
      <c r="DQ143" s="296"/>
      <c r="DR143" s="296"/>
      <c r="DS143" s="296"/>
      <c r="DT143" s="296"/>
      <c r="DU143" s="296"/>
      <c r="DV143" s="296"/>
      <c r="DW143" s="296"/>
      <c r="DX143" s="296"/>
      <c r="DY143" s="296"/>
      <c r="DZ143" s="296"/>
      <c r="EA143" s="296"/>
      <c r="EB143" s="296"/>
      <c r="EC143" s="296"/>
      <c r="ED143" s="296"/>
      <c r="EE143" s="296"/>
      <c r="EF143" s="296"/>
      <c r="EG143" s="296"/>
      <c r="EH143" s="296"/>
      <c r="EI143" s="296"/>
      <c r="EJ143" s="296"/>
      <c r="EK143" s="296"/>
      <c r="EL143" s="296"/>
      <c r="EM143" s="296"/>
      <c r="EN143" s="296"/>
      <c r="EO143" s="296"/>
      <c r="EP143" s="296"/>
      <c r="EQ143" s="296"/>
      <c r="ER143" s="296"/>
      <c r="ES143" s="296"/>
      <c r="ET143" s="296"/>
      <c r="EU143" s="296"/>
      <c r="EV143" s="296"/>
      <c r="EW143" s="296"/>
      <c r="EX143" s="296"/>
      <c r="EY143" s="296"/>
      <c r="EZ143" s="296"/>
      <c r="FA143" s="296"/>
      <c r="FB143" s="296"/>
      <c r="FC143" s="296"/>
      <c r="FD143" s="296"/>
      <c r="FE143" s="296"/>
      <c r="FF143" s="296"/>
      <c r="FG143" s="296"/>
      <c r="FH143" s="296"/>
      <c r="FI143" s="296"/>
      <c r="FJ143" s="296"/>
      <c r="FK143" s="296"/>
      <c r="FL143" s="296"/>
      <c r="FM143" s="296"/>
      <c r="FN143" s="296"/>
      <c r="FO143" s="296"/>
      <c r="FP143" s="296"/>
      <c r="FQ143" s="296"/>
      <c r="FR143" s="296"/>
      <c r="FS143" s="296"/>
      <c r="FT143" s="296"/>
      <c r="FU143" s="296"/>
      <c r="FV143" s="296"/>
      <c r="FW143" s="296"/>
      <c r="FX143" s="296"/>
      <c r="FY143" s="296"/>
      <c r="FZ143" s="296"/>
      <c r="GA143" s="296"/>
      <c r="GB143" s="296"/>
      <c r="GC143" s="296"/>
      <c r="GD143" s="296"/>
      <c r="GE143" s="296"/>
      <c r="GF143" s="296"/>
      <c r="GG143" s="296"/>
      <c r="GH143" s="296"/>
      <c r="GI143" s="296"/>
      <c r="GJ143" s="296"/>
      <c r="GK143" s="296"/>
      <c r="GL143" s="296"/>
      <c r="GM143" s="296"/>
      <c r="GN143" s="296"/>
      <c r="GO143" s="296"/>
      <c r="GP143" s="296"/>
      <c r="GQ143" s="296"/>
      <c r="GR143" s="296"/>
      <c r="GS143" s="296"/>
      <c r="GT143" s="296"/>
      <c r="GU143" s="296"/>
      <c r="GV143" s="296"/>
      <c r="GW143" s="296"/>
      <c r="GX143" s="296"/>
      <c r="GY143" s="296"/>
      <c r="GZ143" s="296"/>
      <c r="HA143" s="296"/>
      <c r="HB143" s="296"/>
      <c r="HC143" s="296"/>
      <c r="HD143" s="296"/>
      <c r="HE143" s="296"/>
      <c r="HF143" s="296"/>
      <c r="HG143" s="296"/>
      <c r="HH143" s="296"/>
      <c r="HI143" s="296"/>
      <c r="HJ143" s="296"/>
      <c r="HK143" s="296"/>
      <c r="HL143" s="296"/>
      <c r="HM143" s="296"/>
      <c r="HN143" s="296"/>
      <c r="HO143" s="296"/>
      <c r="HP143" s="296"/>
      <c r="HQ143" s="296"/>
      <c r="HR143" s="296"/>
      <c r="HS143" s="296"/>
      <c r="HT143" s="296"/>
      <c r="HU143" s="296"/>
      <c r="HV143" s="296"/>
      <c r="HW143" s="296"/>
      <c r="HX143" s="296"/>
      <c r="HY143" s="296"/>
      <c r="HZ143" s="296"/>
      <c r="IA143" s="296"/>
      <c r="IB143" s="296"/>
      <c r="IC143" s="296"/>
      <c r="ID143" s="296"/>
      <c r="IE143" s="296"/>
      <c r="IF143" s="296"/>
      <c r="IG143" s="296"/>
      <c r="IH143" s="296"/>
      <c r="II143" s="296"/>
      <c r="IJ143" s="296"/>
      <c r="IK143" s="296"/>
      <c r="IL143" s="296"/>
      <c r="IM143" s="296"/>
      <c r="IN143" s="296"/>
      <c r="IO143" s="296"/>
      <c r="IP143" s="296"/>
      <c r="IQ143" s="296"/>
      <c r="IR143" s="296"/>
      <c r="IS143" s="296"/>
      <c r="IT143" s="296"/>
      <c r="IU143" s="296"/>
      <c r="IV143" s="296"/>
    </row>
    <row r="144" spans="1:256" customFormat="1" ht="12.75" customHeight="1">
      <c r="A144" s="296"/>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c r="CA144" s="296"/>
      <c r="CB144" s="296"/>
      <c r="CC144" s="296"/>
      <c r="CD144" s="296"/>
      <c r="CE144" s="296"/>
      <c r="CF144" s="296"/>
      <c r="CG144" s="296"/>
      <c r="CH144" s="296"/>
      <c r="CI144" s="296"/>
      <c r="CJ144" s="296"/>
      <c r="CK144" s="296"/>
      <c r="CL144" s="296"/>
      <c r="CM144" s="296"/>
      <c r="CN144" s="296"/>
      <c r="CO144" s="296"/>
      <c r="CP144" s="296"/>
      <c r="CQ144" s="296"/>
      <c r="CR144" s="296"/>
      <c r="CS144" s="296"/>
      <c r="CT144" s="296"/>
      <c r="CU144" s="296"/>
      <c r="CV144" s="296"/>
      <c r="CW144" s="296"/>
      <c r="CX144" s="296"/>
      <c r="CY144" s="296"/>
      <c r="CZ144" s="296"/>
      <c r="DA144" s="296"/>
      <c r="DB144" s="296"/>
      <c r="DC144" s="296"/>
      <c r="DD144" s="296"/>
      <c r="DE144" s="296"/>
      <c r="DF144" s="296"/>
      <c r="DG144" s="296"/>
      <c r="DH144" s="296"/>
      <c r="DI144" s="296"/>
      <c r="DJ144" s="296"/>
      <c r="DK144" s="296"/>
      <c r="DL144" s="296"/>
      <c r="DM144" s="296"/>
      <c r="DN144" s="296"/>
      <c r="DO144" s="296"/>
      <c r="DP144" s="296"/>
      <c r="DQ144" s="296"/>
      <c r="DR144" s="296"/>
      <c r="DS144" s="296"/>
      <c r="DT144" s="296"/>
      <c r="DU144" s="296"/>
      <c r="DV144" s="296"/>
      <c r="DW144" s="296"/>
      <c r="DX144" s="296"/>
      <c r="DY144" s="296"/>
      <c r="DZ144" s="296"/>
      <c r="EA144" s="296"/>
      <c r="EB144" s="296"/>
      <c r="EC144" s="296"/>
      <c r="ED144" s="296"/>
      <c r="EE144" s="296"/>
      <c r="EF144" s="296"/>
      <c r="EG144" s="296"/>
      <c r="EH144" s="296"/>
      <c r="EI144" s="296"/>
      <c r="EJ144" s="296"/>
      <c r="EK144" s="296"/>
      <c r="EL144" s="296"/>
      <c r="EM144" s="296"/>
      <c r="EN144" s="296"/>
      <c r="EO144" s="296"/>
      <c r="EP144" s="296"/>
      <c r="EQ144" s="296"/>
      <c r="ER144" s="296"/>
      <c r="ES144" s="296"/>
      <c r="ET144" s="296"/>
      <c r="EU144" s="296"/>
      <c r="EV144" s="296"/>
      <c r="EW144" s="296"/>
      <c r="EX144" s="296"/>
      <c r="EY144" s="296"/>
      <c r="EZ144" s="296"/>
      <c r="FA144" s="296"/>
      <c r="FB144" s="296"/>
      <c r="FC144" s="296"/>
      <c r="FD144" s="296"/>
      <c r="FE144" s="296"/>
      <c r="FF144" s="296"/>
      <c r="FG144" s="296"/>
      <c r="FH144" s="296"/>
      <c r="FI144" s="296"/>
      <c r="FJ144" s="296"/>
      <c r="FK144" s="296"/>
      <c r="FL144" s="296"/>
      <c r="FM144" s="296"/>
      <c r="FN144" s="296"/>
      <c r="FO144" s="296"/>
      <c r="FP144" s="296"/>
      <c r="FQ144" s="296"/>
      <c r="FR144" s="296"/>
      <c r="FS144" s="296"/>
      <c r="FT144" s="296"/>
      <c r="FU144" s="296"/>
      <c r="FV144" s="296"/>
      <c r="FW144" s="296"/>
      <c r="FX144" s="296"/>
      <c r="FY144" s="296"/>
      <c r="FZ144" s="296"/>
      <c r="GA144" s="296"/>
      <c r="GB144" s="296"/>
      <c r="GC144" s="296"/>
      <c r="GD144" s="296"/>
      <c r="GE144" s="296"/>
      <c r="GF144" s="296"/>
      <c r="GG144" s="296"/>
      <c r="GH144" s="296"/>
      <c r="GI144" s="296"/>
      <c r="GJ144" s="296"/>
      <c r="GK144" s="296"/>
      <c r="GL144" s="296"/>
      <c r="GM144" s="296"/>
      <c r="GN144" s="296"/>
      <c r="GO144" s="296"/>
      <c r="GP144" s="296"/>
      <c r="GQ144" s="296"/>
      <c r="GR144" s="296"/>
      <c r="GS144" s="296"/>
      <c r="GT144" s="296"/>
      <c r="GU144" s="296"/>
      <c r="GV144" s="296"/>
      <c r="GW144" s="296"/>
      <c r="GX144" s="296"/>
      <c r="GY144" s="296"/>
      <c r="GZ144" s="296"/>
      <c r="HA144" s="296"/>
      <c r="HB144" s="296"/>
      <c r="HC144" s="296"/>
      <c r="HD144" s="296"/>
      <c r="HE144" s="296"/>
      <c r="HF144" s="296"/>
      <c r="HG144" s="296"/>
      <c r="HH144" s="296"/>
      <c r="HI144" s="296"/>
      <c r="HJ144" s="296"/>
      <c r="HK144" s="296"/>
      <c r="HL144" s="296"/>
      <c r="HM144" s="296"/>
      <c r="HN144" s="296"/>
      <c r="HO144" s="296"/>
      <c r="HP144" s="296"/>
      <c r="HQ144" s="296"/>
      <c r="HR144" s="296"/>
      <c r="HS144" s="296"/>
      <c r="HT144" s="296"/>
      <c r="HU144" s="296"/>
      <c r="HV144" s="296"/>
      <c r="HW144" s="296"/>
      <c r="HX144" s="296"/>
      <c r="HY144" s="296"/>
      <c r="HZ144" s="296"/>
      <c r="IA144" s="296"/>
      <c r="IB144" s="296"/>
      <c r="IC144" s="296"/>
      <c r="ID144" s="296"/>
      <c r="IE144" s="296"/>
      <c r="IF144" s="296"/>
      <c r="IG144" s="296"/>
      <c r="IH144" s="296"/>
      <c r="II144" s="296"/>
      <c r="IJ144" s="296"/>
      <c r="IK144" s="296"/>
      <c r="IL144" s="296"/>
      <c r="IM144" s="296"/>
      <c r="IN144" s="296"/>
      <c r="IO144" s="296"/>
      <c r="IP144" s="296"/>
      <c r="IQ144" s="296"/>
      <c r="IR144" s="296"/>
      <c r="IS144" s="296"/>
      <c r="IT144" s="296"/>
      <c r="IU144" s="296"/>
      <c r="IV144" s="296"/>
    </row>
    <row r="145" spans="1:256" customFormat="1" ht="12.75" customHeight="1">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296"/>
      <c r="BN145" s="296"/>
      <c r="BO145" s="296"/>
      <c r="BP145" s="296"/>
      <c r="BQ145" s="296"/>
      <c r="BR145" s="296"/>
      <c r="BS145" s="296"/>
      <c r="BT145" s="296"/>
      <c r="BU145" s="296"/>
      <c r="BV145" s="296"/>
      <c r="BW145" s="296"/>
      <c r="BX145" s="296"/>
      <c r="BY145" s="296"/>
      <c r="BZ145" s="296"/>
      <c r="CA145" s="296"/>
      <c r="CB145" s="296"/>
      <c r="CC145" s="296"/>
      <c r="CD145" s="296"/>
      <c r="CE145" s="296"/>
      <c r="CF145" s="296"/>
      <c r="CG145" s="296"/>
      <c r="CH145" s="296"/>
      <c r="CI145" s="296"/>
      <c r="CJ145" s="296"/>
      <c r="CK145" s="296"/>
      <c r="CL145" s="296"/>
      <c r="CM145" s="296"/>
      <c r="CN145" s="296"/>
      <c r="CO145" s="296"/>
      <c r="CP145" s="296"/>
      <c r="CQ145" s="296"/>
      <c r="CR145" s="296"/>
      <c r="CS145" s="296"/>
      <c r="CT145" s="296"/>
      <c r="CU145" s="296"/>
      <c r="CV145" s="296"/>
      <c r="CW145" s="296"/>
      <c r="CX145" s="296"/>
      <c r="CY145" s="296"/>
      <c r="CZ145" s="296"/>
      <c r="DA145" s="296"/>
      <c r="DB145" s="296"/>
      <c r="DC145" s="296"/>
      <c r="DD145" s="296"/>
      <c r="DE145" s="296"/>
      <c r="DF145" s="296"/>
      <c r="DG145" s="296"/>
      <c r="DH145" s="296"/>
      <c r="DI145" s="296"/>
      <c r="DJ145" s="296"/>
      <c r="DK145" s="296"/>
      <c r="DL145" s="296"/>
      <c r="DM145" s="296"/>
      <c r="DN145" s="296"/>
      <c r="DO145" s="296"/>
      <c r="DP145" s="296"/>
      <c r="DQ145" s="296"/>
      <c r="DR145" s="296"/>
      <c r="DS145" s="296"/>
      <c r="DT145" s="296"/>
      <c r="DU145" s="296"/>
      <c r="DV145" s="296"/>
      <c r="DW145" s="296"/>
      <c r="DX145" s="296"/>
      <c r="DY145" s="296"/>
      <c r="DZ145" s="296"/>
      <c r="EA145" s="296"/>
      <c r="EB145" s="296"/>
      <c r="EC145" s="296"/>
      <c r="ED145" s="296"/>
      <c r="EE145" s="296"/>
      <c r="EF145" s="296"/>
      <c r="EG145" s="296"/>
      <c r="EH145" s="296"/>
      <c r="EI145" s="296"/>
      <c r="EJ145" s="296"/>
      <c r="EK145" s="296"/>
      <c r="EL145" s="296"/>
      <c r="EM145" s="296"/>
      <c r="EN145" s="296"/>
      <c r="EO145" s="296"/>
      <c r="EP145" s="296"/>
      <c r="EQ145" s="296"/>
      <c r="ER145" s="296"/>
      <c r="ES145" s="296"/>
      <c r="ET145" s="296"/>
      <c r="EU145" s="296"/>
      <c r="EV145" s="296"/>
      <c r="EW145" s="296"/>
      <c r="EX145" s="296"/>
      <c r="EY145" s="296"/>
      <c r="EZ145" s="296"/>
      <c r="FA145" s="296"/>
      <c r="FB145" s="296"/>
      <c r="FC145" s="296"/>
      <c r="FD145" s="296"/>
      <c r="FE145" s="296"/>
      <c r="FF145" s="296"/>
      <c r="FG145" s="296"/>
      <c r="FH145" s="296"/>
      <c r="FI145" s="296"/>
      <c r="FJ145" s="296"/>
      <c r="FK145" s="296"/>
      <c r="FL145" s="296"/>
      <c r="FM145" s="296"/>
      <c r="FN145" s="296"/>
      <c r="FO145" s="296"/>
      <c r="FP145" s="296"/>
      <c r="FQ145" s="296"/>
      <c r="FR145" s="296"/>
      <c r="FS145" s="296"/>
      <c r="FT145" s="296"/>
      <c r="FU145" s="296"/>
      <c r="FV145" s="296"/>
      <c r="FW145" s="296"/>
      <c r="FX145" s="296"/>
      <c r="FY145" s="296"/>
      <c r="FZ145" s="296"/>
      <c r="GA145" s="296"/>
      <c r="GB145" s="296"/>
      <c r="GC145" s="296"/>
      <c r="GD145" s="296"/>
      <c r="GE145" s="296"/>
      <c r="GF145" s="296"/>
      <c r="GG145" s="296"/>
      <c r="GH145" s="296"/>
      <c r="GI145" s="296"/>
      <c r="GJ145" s="296"/>
      <c r="GK145" s="296"/>
      <c r="GL145" s="296"/>
      <c r="GM145" s="296"/>
      <c r="GN145" s="296"/>
      <c r="GO145" s="296"/>
      <c r="GP145" s="296"/>
      <c r="GQ145" s="296"/>
      <c r="GR145" s="296"/>
      <c r="GS145" s="296"/>
      <c r="GT145" s="296"/>
      <c r="GU145" s="296"/>
      <c r="GV145" s="296"/>
      <c r="GW145" s="296"/>
      <c r="GX145" s="296"/>
      <c r="GY145" s="296"/>
      <c r="GZ145" s="296"/>
      <c r="HA145" s="296"/>
      <c r="HB145" s="296"/>
      <c r="HC145" s="296"/>
      <c r="HD145" s="296"/>
      <c r="HE145" s="296"/>
      <c r="HF145" s="296"/>
      <c r="HG145" s="296"/>
      <c r="HH145" s="296"/>
      <c r="HI145" s="296"/>
      <c r="HJ145" s="296"/>
      <c r="HK145" s="296"/>
      <c r="HL145" s="296"/>
      <c r="HM145" s="296"/>
      <c r="HN145" s="296"/>
      <c r="HO145" s="296"/>
      <c r="HP145" s="296"/>
      <c r="HQ145" s="296"/>
      <c r="HR145" s="296"/>
      <c r="HS145" s="296"/>
      <c r="HT145" s="296"/>
      <c r="HU145" s="296"/>
      <c r="HV145" s="296"/>
      <c r="HW145" s="296"/>
      <c r="HX145" s="296"/>
      <c r="HY145" s="296"/>
      <c r="HZ145" s="296"/>
      <c r="IA145" s="296"/>
      <c r="IB145" s="296"/>
      <c r="IC145" s="296"/>
      <c r="ID145" s="296"/>
      <c r="IE145" s="296"/>
      <c r="IF145" s="296"/>
      <c r="IG145" s="296"/>
      <c r="IH145" s="296"/>
      <c r="II145" s="296"/>
      <c r="IJ145" s="296"/>
      <c r="IK145" s="296"/>
      <c r="IL145" s="296"/>
      <c r="IM145" s="296"/>
      <c r="IN145" s="296"/>
      <c r="IO145" s="296"/>
      <c r="IP145" s="296"/>
      <c r="IQ145" s="296"/>
      <c r="IR145" s="296"/>
      <c r="IS145" s="296"/>
      <c r="IT145" s="296"/>
      <c r="IU145" s="296"/>
      <c r="IV145" s="296"/>
    </row>
  </sheetData>
  <mergeCells count="1">
    <mergeCell ref="A1:G1"/>
  </mergeCells>
  <phoneticPr fontId="54" type="noConversion"/>
  <printOptions horizontalCentered="1"/>
  <pageMargins left="0.74791666666666701" right="0.74791666666666701" top="0.78680555555555598" bottom="0.98402777777777795" header="0.51180555555555596" footer="0.5118055555555559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0"/>
  <sheetViews>
    <sheetView topLeftCell="A13" workbookViewId="0">
      <selection activeCell="I7" sqref="I7"/>
    </sheetView>
  </sheetViews>
  <sheetFormatPr defaultColWidth="9" defaultRowHeight="12.75"/>
  <cols>
    <col min="1" max="1" width="36.125" style="168" customWidth="1"/>
    <col min="2" max="2" width="9.125" style="168" customWidth="1"/>
    <col min="3" max="3" width="11.125" style="168" customWidth="1"/>
    <col min="4" max="4" width="11.875" style="168" customWidth="1"/>
    <col min="5" max="5" width="11" style="168" customWidth="1"/>
    <col min="6" max="6" width="9" style="168" customWidth="1"/>
    <col min="7" max="8" width="9" style="168" hidden="1" customWidth="1"/>
    <col min="9" max="9" width="9" style="168" customWidth="1"/>
    <col min="10" max="16384" width="9" style="168"/>
  </cols>
  <sheetData>
    <row r="1" spans="1:5" ht="30" customHeight="1">
      <c r="A1" s="349" t="s">
        <v>135</v>
      </c>
      <c r="B1" s="349"/>
      <c r="C1" s="349"/>
      <c r="D1" s="349"/>
      <c r="E1" s="349"/>
    </row>
    <row r="2" spans="1:5" ht="21.75" customHeight="1">
      <c r="A2" s="161" t="s">
        <v>136</v>
      </c>
      <c r="B2" s="274"/>
      <c r="C2" s="274"/>
      <c r="E2" s="7" t="s">
        <v>86</v>
      </c>
    </row>
    <row r="3" spans="1:5" ht="35.1" customHeight="1">
      <c r="A3" s="276" t="s">
        <v>137</v>
      </c>
      <c r="B3" s="278" t="s">
        <v>138</v>
      </c>
      <c r="C3" s="278" t="s">
        <v>139</v>
      </c>
      <c r="D3" s="278" t="s">
        <v>140</v>
      </c>
      <c r="E3" s="285" t="s">
        <v>88</v>
      </c>
    </row>
    <row r="4" spans="1:5" ht="24.95" customHeight="1">
      <c r="A4" s="286" t="s">
        <v>60</v>
      </c>
      <c r="B4" s="287">
        <f>SUM(B5:B18)</f>
        <v>159500</v>
      </c>
      <c r="C4" s="287">
        <f>SUM(C5:C18)</f>
        <v>175500</v>
      </c>
      <c r="D4" s="159">
        <f>(C4/B4-1)*100</f>
        <v>10</v>
      </c>
      <c r="E4" s="288"/>
    </row>
    <row r="5" spans="1:5" ht="24.95" customHeight="1">
      <c r="A5" s="258" t="s">
        <v>141</v>
      </c>
      <c r="B5" s="289">
        <v>55808</v>
      </c>
      <c r="C5" s="290">
        <v>61500</v>
      </c>
      <c r="D5" s="157">
        <f>(C5/B5-1)*100</f>
        <v>10.199999999999999</v>
      </c>
      <c r="E5" s="291"/>
    </row>
    <row r="6" spans="1:5" ht="24.95" customHeight="1">
      <c r="A6" s="258" t="s">
        <v>142</v>
      </c>
      <c r="B6" s="289">
        <v>7981</v>
      </c>
      <c r="C6" s="290">
        <v>8800</v>
      </c>
      <c r="D6" s="157">
        <f t="shared" ref="D6:D17" si="0">(C6/B6-1)*100</f>
        <v>10.3</v>
      </c>
      <c r="E6" s="291"/>
    </row>
    <row r="7" spans="1:5" ht="24.95" customHeight="1">
      <c r="A7" s="258" t="s">
        <v>143</v>
      </c>
      <c r="B7" s="289">
        <v>3993</v>
      </c>
      <c r="C7" s="290">
        <v>4200</v>
      </c>
      <c r="D7" s="157">
        <f t="shared" si="0"/>
        <v>5.2</v>
      </c>
      <c r="E7" s="291"/>
    </row>
    <row r="8" spans="1:5" ht="24.95" customHeight="1">
      <c r="A8" s="258" t="s">
        <v>144</v>
      </c>
      <c r="B8" s="289">
        <v>26381</v>
      </c>
      <c r="C8" s="290">
        <v>29000</v>
      </c>
      <c r="D8" s="157">
        <f t="shared" si="0"/>
        <v>9.9</v>
      </c>
      <c r="E8" s="291"/>
    </row>
    <row r="9" spans="1:5" ht="24.95" customHeight="1">
      <c r="A9" s="258" t="s">
        <v>145</v>
      </c>
      <c r="B9" s="289">
        <v>11531</v>
      </c>
      <c r="C9" s="290">
        <v>12700</v>
      </c>
      <c r="D9" s="157">
        <f t="shared" si="0"/>
        <v>10.1</v>
      </c>
      <c r="E9" s="291"/>
    </row>
    <row r="10" spans="1:5" ht="24.95" customHeight="1">
      <c r="A10" s="258" t="s">
        <v>146</v>
      </c>
      <c r="B10" s="289">
        <v>4882</v>
      </c>
      <c r="C10" s="290">
        <v>5400</v>
      </c>
      <c r="D10" s="157">
        <f t="shared" si="0"/>
        <v>10.6</v>
      </c>
      <c r="E10" s="291"/>
    </row>
    <row r="11" spans="1:5" ht="24.95" customHeight="1">
      <c r="A11" s="258" t="s">
        <v>147</v>
      </c>
      <c r="B11" s="289">
        <v>3560</v>
      </c>
      <c r="C11" s="290">
        <v>3900</v>
      </c>
      <c r="D11" s="157">
        <f t="shared" si="0"/>
        <v>9.6</v>
      </c>
      <c r="E11" s="291"/>
    </row>
    <row r="12" spans="1:5" ht="24.95" customHeight="1">
      <c r="A12" s="258" t="s">
        <v>148</v>
      </c>
      <c r="B12" s="289">
        <v>3565</v>
      </c>
      <c r="C12" s="290">
        <v>3950</v>
      </c>
      <c r="D12" s="157">
        <f t="shared" si="0"/>
        <v>10.8</v>
      </c>
      <c r="E12" s="291"/>
    </row>
    <row r="13" spans="1:5" ht="24.95" customHeight="1">
      <c r="A13" s="258" t="s">
        <v>149</v>
      </c>
      <c r="B13" s="289">
        <v>6306</v>
      </c>
      <c r="C13" s="290">
        <v>6900</v>
      </c>
      <c r="D13" s="157">
        <f t="shared" si="0"/>
        <v>9.4</v>
      </c>
      <c r="E13" s="291"/>
    </row>
    <row r="14" spans="1:5" ht="24.95" customHeight="1">
      <c r="A14" s="258" t="s">
        <v>150</v>
      </c>
      <c r="B14" s="289">
        <v>4941</v>
      </c>
      <c r="C14" s="290">
        <v>5350</v>
      </c>
      <c r="D14" s="157">
        <f t="shared" si="0"/>
        <v>8.3000000000000007</v>
      </c>
      <c r="E14" s="291"/>
    </row>
    <row r="15" spans="1:5" ht="24.95" customHeight="1">
      <c r="A15" s="258" t="s">
        <v>151</v>
      </c>
      <c r="B15" s="289">
        <v>19633</v>
      </c>
      <c r="C15" s="290">
        <v>21700</v>
      </c>
      <c r="D15" s="157">
        <f t="shared" si="0"/>
        <v>10.5</v>
      </c>
      <c r="E15" s="291"/>
    </row>
    <row r="16" spans="1:5" ht="24.95" customHeight="1">
      <c r="A16" s="258" t="s">
        <v>152</v>
      </c>
      <c r="B16" s="289">
        <v>9852</v>
      </c>
      <c r="C16" s="290">
        <v>10900</v>
      </c>
      <c r="D16" s="157">
        <f t="shared" si="0"/>
        <v>10.6</v>
      </c>
      <c r="E16" s="291"/>
    </row>
    <row r="17" spans="1:8" ht="24.95" customHeight="1">
      <c r="A17" s="258" t="s">
        <v>153</v>
      </c>
      <c r="B17" s="289">
        <v>1067</v>
      </c>
      <c r="C17" s="290">
        <v>1200</v>
      </c>
      <c r="D17" s="157">
        <f t="shared" si="0"/>
        <v>12.5</v>
      </c>
      <c r="E17" s="291"/>
    </row>
    <row r="18" spans="1:8" ht="23.25" hidden="1" customHeight="1">
      <c r="A18" s="258" t="s">
        <v>154</v>
      </c>
      <c r="B18" s="289"/>
      <c r="C18" s="290"/>
      <c r="D18" s="288"/>
      <c r="E18" s="291"/>
    </row>
    <row r="19" spans="1:8" ht="24.95" customHeight="1">
      <c r="A19" s="286" t="s">
        <v>75</v>
      </c>
      <c r="B19" s="287">
        <f>SUM(B20:B27)</f>
        <v>90584</v>
      </c>
      <c r="C19" s="287">
        <f>SUM(C20:C27)</f>
        <v>87120</v>
      </c>
      <c r="D19" s="159">
        <f t="shared" ref="D19:D20" si="1">(C19/B19-1)*100</f>
        <v>-3.8</v>
      </c>
      <c r="E19" s="288"/>
    </row>
    <row r="20" spans="1:8" ht="24.95" customHeight="1">
      <c r="A20" s="258" t="s">
        <v>155</v>
      </c>
      <c r="B20" s="290">
        <v>13539</v>
      </c>
      <c r="C20" s="290">
        <v>13200</v>
      </c>
      <c r="D20" s="157">
        <f t="shared" si="1"/>
        <v>-2.5</v>
      </c>
      <c r="E20" s="288"/>
      <c r="G20" s="168">
        <f>B4/B28*100</f>
        <v>63.778570400345501</v>
      </c>
      <c r="H20" s="168">
        <f>C4/C28*100</f>
        <v>66.826593557231007</v>
      </c>
    </row>
    <row r="21" spans="1:8" ht="24.95" customHeight="1">
      <c r="A21" s="258" t="s">
        <v>156</v>
      </c>
      <c r="B21" s="290">
        <v>15783</v>
      </c>
      <c r="C21" s="290">
        <v>15400</v>
      </c>
      <c r="D21" s="157">
        <f t="shared" ref="D21:D22" si="2">(C21/B21-1)*100</f>
        <v>-2.4</v>
      </c>
      <c r="E21" s="288"/>
      <c r="H21" s="168">
        <f>H20-G20</f>
        <v>3.0480231568855101</v>
      </c>
    </row>
    <row r="22" spans="1:8" ht="24.95" customHeight="1">
      <c r="A22" s="258" t="s">
        <v>157</v>
      </c>
      <c r="B22" s="290">
        <v>13427</v>
      </c>
      <c r="C22" s="290">
        <v>13200</v>
      </c>
      <c r="D22" s="157">
        <f t="shared" si="2"/>
        <v>-1.7</v>
      </c>
      <c r="E22" s="288"/>
    </row>
    <row r="23" spans="1:8" ht="24.95" customHeight="1">
      <c r="A23" s="258" t="s">
        <v>158</v>
      </c>
      <c r="B23" s="290">
        <v>90</v>
      </c>
      <c r="C23" s="290"/>
      <c r="D23" s="157"/>
      <c r="E23" s="288"/>
    </row>
    <row r="24" spans="1:8" ht="24.95" customHeight="1">
      <c r="A24" s="258" t="s">
        <v>159</v>
      </c>
      <c r="B24" s="290">
        <v>17484</v>
      </c>
      <c r="C24" s="290">
        <v>17100</v>
      </c>
      <c r="D24" s="157">
        <f t="shared" ref="D24" si="3">(C24/B24-1)*100</f>
        <v>-2.2000000000000002</v>
      </c>
      <c r="E24" s="288"/>
    </row>
    <row r="25" spans="1:8" ht="24.95" customHeight="1">
      <c r="A25" s="258" t="s">
        <v>160</v>
      </c>
      <c r="B25" s="290">
        <v>1184</v>
      </c>
      <c r="C25" s="290"/>
      <c r="D25" s="157"/>
      <c r="E25" s="288"/>
    </row>
    <row r="26" spans="1:8" ht="24.95" customHeight="1">
      <c r="A26" s="258" t="s">
        <v>161</v>
      </c>
      <c r="B26" s="290">
        <v>28990</v>
      </c>
      <c r="C26" s="290">
        <v>28220</v>
      </c>
      <c r="D26" s="157">
        <f>(C26/B26-1)*100</f>
        <v>-2.7</v>
      </c>
      <c r="E26" s="288"/>
    </row>
    <row r="27" spans="1:8" ht="24.75" customHeight="1">
      <c r="A27" s="258" t="s">
        <v>162</v>
      </c>
      <c r="B27" s="290">
        <v>87</v>
      </c>
      <c r="C27" s="290"/>
      <c r="D27" s="157"/>
      <c r="E27" s="288"/>
    </row>
    <row r="28" spans="1:8" ht="24.95" customHeight="1">
      <c r="A28" s="247" t="s">
        <v>83</v>
      </c>
      <c r="B28" s="287">
        <f>B4+B19</f>
        <v>250084</v>
      </c>
      <c r="C28" s="287">
        <f>C4+C19</f>
        <v>262620</v>
      </c>
      <c r="D28" s="159">
        <f>(C28/B28-1)*100</f>
        <v>5</v>
      </c>
      <c r="E28" s="288"/>
    </row>
    <row r="29" spans="1:8" ht="24.95" customHeight="1">
      <c r="A29" s="248" t="s">
        <v>163</v>
      </c>
      <c r="B29" s="290"/>
      <c r="C29" s="290">
        <f>C34+C37+C30</f>
        <v>858401</v>
      </c>
      <c r="D29" s="290"/>
      <c r="E29" s="290"/>
    </row>
    <row r="30" spans="1:8" ht="24.95" customHeight="1">
      <c r="A30" s="248" t="s">
        <v>164</v>
      </c>
      <c r="B30" s="290"/>
      <c r="C30" s="290">
        <f>SUM(C31:C33)</f>
        <v>757274</v>
      </c>
      <c r="D30" s="290"/>
      <c r="E30" s="290"/>
    </row>
    <row r="31" spans="1:8" ht="24.95" customHeight="1">
      <c r="A31" s="266" t="s">
        <v>165</v>
      </c>
      <c r="B31" s="290"/>
      <c r="C31" s="290">
        <v>23315</v>
      </c>
      <c r="D31" s="290"/>
      <c r="E31" s="290"/>
    </row>
    <row r="32" spans="1:8" ht="24.95" customHeight="1">
      <c r="A32" s="266" t="s">
        <v>166</v>
      </c>
      <c r="B32" s="290"/>
      <c r="C32" s="290">
        <v>362879</v>
      </c>
      <c r="D32" s="290"/>
      <c r="E32" s="290"/>
    </row>
    <row r="33" spans="1:5" ht="24.95" customHeight="1">
      <c r="A33" s="266" t="s">
        <v>167</v>
      </c>
      <c r="B33" s="290"/>
      <c r="C33" s="290">
        <v>371080</v>
      </c>
      <c r="D33" s="290"/>
      <c r="E33" s="290"/>
    </row>
    <row r="34" spans="1:5" ht="24.95" customHeight="1">
      <c r="A34" s="248" t="s">
        <v>168</v>
      </c>
      <c r="B34" s="290"/>
      <c r="C34" s="290">
        <f>SUM(C35:C36)</f>
        <v>70000</v>
      </c>
      <c r="D34" s="290"/>
      <c r="E34" s="290"/>
    </row>
    <row r="35" spans="1:5" ht="24.95" customHeight="1">
      <c r="A35" s="266" t="s">
        <v>169</v>
      </c>
      <c r="B35" s="290"/>
      <c r="C35" s="290">
        <v>50000</v>
      </c>
      <c r="D35" s="290"/>
      <c r="E35" s="290"/>
    </row>
    <row r="36" spans="1:5" ht="24.95" customHeight="1">
      <c r="A36" s="266" t="s">
        <v>170</v>
      </c>
      <c r="B36" s="290"/>
      <c r="C36" s="290">
        <v>20000</v>
      </c>
      <c r="D36" s="290"/>
      <c r="E36" s="290"/>
    </row>
    <row r="37" spans="1:5" ht="24.95" customHeight="1">
      <c r="A37" s="248" t="s">
        <v>171</v>
      </c>
      <c r="B37" s="290"/>
      <c r="C37" s="290">
        <v>31127</v>
      </c>
      <c r="D37" s="290"/>
      <c r="E37" s="290"/>
    </row>
    <row r="38" spans="1:5" ht="24.95" hidden="1" customHeight="1">
      <c r="A38" s="292"/>
      <c r="B38" s="290"/>
      <c r="C38" s="290"/>
      <c r="D38" s="290"/>
      <c r="E38" s="290"/>
    </row>
    <row r="39" spans="1:5" ht="24.95" customHeight="1">
      <c r="A39" s="247" t="s">
        <v>172</v>
      </c>
      <c r="B39" s="287"/>
      <c r="C39" s="287">
        <f>C28+C29</f>
        <v>1121021</v>
      </c>
      <c r="D39" s="290"/>
      <c r="E39" s="290"/>
    </row>
    <row r="40" spans="1:5">
      <c r="A40" s="293"/>
    </row>
  </sheetData>
  <mergeCells count="1">
    <mergeCell ref="A1:E1"/>
  </mergeCells>
  <phoneticPr fontId="54" type="noConversion"/>
  <printOptions horizontalCentered="1"/>
  <pageMargins left="0.78680555555555598" right="0.78680555555555598" top="0.78680555555555598" bottom="0.98402777777777795" header="0.31388888888888899" footer="0.1562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36"/>
  <sheetViews>
    <sheetView workbookViewId="0">
      <selection activeCell="V11" sqref="V11"/>
    </sheetView>
  </sheetViews>
  <sheetFormatPr defaultColWidth="9" defaultRowHeight="14.25"/>
  <cols>
    <col min="1" max="1" width="32.375" style="168"/>
    <col min="2" max="2" width="10.625" style="168" customWidth="1"/>
    <col min="3" max="3" width="13" style="168" customWidth="1"/>
    <col min="4" max="4" width="11.5" style="168" customWidth="1"/>
    <col min="5" max="5" width="11.75" style="168" customWidth="1"/>
    <col min="6" max="6" width="9" style="168" customWidth="1"/>
    <col min="7" max="7" width="20.375" style="168" hidden="1" customWidth="1"/>
    <col min="8" max="19" width="9" style="168" hidden="1" customWidth="1"/>
    <col min="20" max="251" width="9" style="168" customWidth="1"/>
  </cols>
  <sheetData>
    <row r="1" spans="1:19" ht="30" customHeight="1">
      <c r="A1" s="349" t="s">
        <v>173</v>
      </c>
      <c r="B1" s="349"/>
      <c r="C1" s="349"/>
      <c r="D1" s="349"/>
      <c r="E1" s="349"/>
    </row>
    <row r="2" spans="1:19" ht="20.100000000000001" customHeight="1">
      <c r="A2" s="273" t="s">
        <v>174</v>
      </c>
      <c r="B2" s="274"/>
      <c r="C2" s="274"/>
      <c r="E2" s="275" t="s">
        <v>86</v>
      </c>
    </row>
    <row r="3" spans="1:19" ht="32.25" customHeight="1">
      <c r="A3" s="276" t="s">
        <v>175</v>
      </c>
      <c r="B3" s="277" t="s">
        <v>176</v>
      </c>
      <c r="C3" s="277" t="s">
        <v>139</v>
      </c>
      <c r="D3" s="278" t="s">
        <v>177</v>
      </c>
      <c r="E3" s="278" t="s">
        <v>88</v>
      </c>
      <c r="H3" s="279" t="s">
        <v>178</v>
      </c>
      <c r="I3" s="279" t="s">
        <v>179</v>
      </c>
      <c r="J3" s="279" t="s">
        <v>180</v>
      </c>
      <c r="K3" s="279" t="s">
        <v>181</v>
      </c>
      <c r="L3" s="279" t="s">
        <v>182</v>
      </c>
      <c r="M3" s="279" t="s">
        <v>183</v>
      </c>
      <c r="N3" s="279" t="s">
        <v>184</v>
      </c>
      <c r="O3" s="279" t="s">
        <v>185</v>
      </c>
      <c r="P3" s="279" t="s">
        <v>186</v>
      </c>
      <c r="Q3" s="279" t="s">
        <v>187</v>
      </c>
      <c r="R3" s="279" t="s">
        <v>188</v>
      </c>
      <c r="S3" s="279" t="s">
        <v>189</v>
      </c>
    </row>
    <row r="4" spans="1:19" ht="21" customHeight="1">
      <c r="A4" s="246" t="s">
        <v>89</v>
      </c>
      <c r="B4" s="134">
        <v>91836</v>
      </c>
      <c r="C4" s="134">
        <f>92680+1375</f>
        <v>94055</v>
      </c>
      <c r="D4" s="260">
        <f>(C4/B4-1)*100</f>
        <v>2.4</v>
      </c>
      <c r="E4" s="185"/>
      <c r="G4" s="168" t="s">
        <v>190</v>
      </c>
      <c r="H4" s="250">
        <v>329781</v>
      </c>
      <c r="I4" s="250">
        <v>1917472</v>
      </c>
      <c r="J4" s="250">
        <v>113699</v>
      </c>
      <c r="K4" s="250">
        <v>240842</v>
      </c>
      <c r="L4" s="250">
        <v>317278</v>
      </c>
      <c r="M4" s="250">
        <v>331597</v>
      </c>
      <c r="N4" s="250">
        <v>350900</v>
      </c>
      <c r="O4" s="250">
        <v>356536</v>
      </c>
      <c r="P4" s="250">
        <v>140708</v>
      </c>
      <c r="Q4" s="250">
        <v>495632</v>
      </c>
      <c r="R4" s="250">
        <v>716600</v>
      </c>
      <c r="S4" s="250">
        <v>24968</v>
      </c>
    </row>
    <row r="5" spans="1:19" ht="30" customHeight="1">
      <c r="A5" s="246" t="s">
        <v>90</v>
      </c>
      <c r="B5" s="134">
        <v>1280</v>
      </c>
      <c r="C5" s="134"/>
      <c r="D5" s="260"/>
      <c r="E5" s="280" t="s">
        <v>191</v>
      </c>
      <c r="G5" s="168" t="s">
        <v>192</v>
      </c>
      <c r="H5" s="250">
        <v>9873</v>
      </c>
      <c r="I5" s="250">
        <v>6514</v>
      </c>
      <c r="J5" s="250">
        <v>937</v>
      </c>
      <c r="K5" s="250">
        <v>2123</v>
      </c>
      <c r="L5" s="250">
        <v>10327</v>
      </c>
      <c r="M5" s="250">
        <v>2256</v>
      </c>
      <c r="N5" s="250">
        <v>2618</v>
      </c>
      <c r="O5" s="250">
        <v>183</v>
      </c>
      <c r="P5" s="250">
        <v>479</v>
      </c>
      <c r="Q5" s="250">
        <v>4273</v>
      </c>
      <c r="R5" s="250">
        <v>6213</v>
      </c>
      <c r="S5" s="250">
        <v>74</v>
      </c>
    </row>
    <row r="6" spans="1:19" ht="21" customHeight="1">
      <c r="A6" s="246" t="s">
        <v>91</v>
      </c>
      <c r="B6" s="134">
        <v>46523</v>
      </c>
      <c r="C6" s="134">
        <v>48704</v>
      </c>
      <c r="D6" s="260">
        <f t="shared" ref="D6:D18" si="0">(C6/B6-1)*100</f>
        <v>4.7</v>
      </c>
      <c r="E6" s="185"/>
      <c r="H6" s="250"/>
      <c r="I6" s="250"/>
      <c r="J6" s="250"/>
      <c r="K6" s="250"/>
      <c r="L6" s="250"/>
      <c r="M6" s="250"/>
      <c r="N6" s="250"/>
      <c r="O6" s="250"/>
      <c r="P6" s="250"/>
      <c r="Q6" s="250"/>
      <c r="R6" s="250"/>
      <c r="S6" s="250"/>
    </row>
    <row r="7" spans="1:19" ht="21" customHeight="1">
      <c r="A7" s="246" t="s">
        <v>92</v>
      </c>
      <c r="B7" s="134">
        <v>166630</v>
      </c>
      <c r="C7" s="134">
        <v>172725</v>
      </c>
      <c r="D7" s="260">
        <f t="shared" si="0"/>
        <v>3.7</v>
      </c>
      <c r="E7" s="185"/>
      <c r="H7" s="250"/>
      <c r="I7" s="250"/>
      <c r="J7" s="250"/>
      <c r="K7" s="250"/>
      <c r="L7" s="250"/>
      <c r="M7" s="250"/>
      <c r="N7" s="250"/>
      <c r="O7" s="250"/>
      <c r="P7" s="250"/>
      <c r="Q7" s="250"/>
      <c r="R7" s="250"/>
      <c r="S7" s="250"/>
    </row>
    <row r="8" spans="1:19" ht="21" customHeight="1">
      <c r="A8" s="246" t="s">
        <v>93</v>
      </c>
      <c r="B8" s="134">
        <v>3850</v>
      </c>
      <c r="C8" s="134">
        <v>3923</v>
      </c>
      <c r="D8" s="260">
        <f t="shared" si="0"/>
        <v>1.9</v>
      </c>
      <c r="E8" s="185"/>
      <c r="H8" s="250"/>
      <c r="I8" s="250"/>
      <c r="J8" s="250"/>
      <c r="K8" s="250"/>
      <c r="L8" s="250"/>
      <c r="M8" s="250"/>
      <c r="N8" s="250"/>
      <c r="O8" s="250"/>
      <c r="P8" s="250"/>
      <c r="Q8" s="250"/>
      <c r="R8" s="250"/>
      <c r="S8" s="250"/>
    </row>
    <row r="9" spans="1:19" ht="21" customHeight="1">
      <c r="A9" s="246" t="s">
        <v>94</v>
      </c>
      <c r="B9" s="134">
        <v>28623</v>
      </c>
      <c r="C9" s="134">
        <v>30090</v>
      </c>
      <c r="D9" s="260">
        <f t="shared" si="0"/>
        <v>5.0999999999999996</v>
      </c>
      <c r="E9" s="185"/>
      <c r="H9" s="250"/>
      <c r="I9" s="250"/>
      <c r="J9" s="250"/>
      <c r="K9" s="250"/>
      <c r="L9" s="250"/>
      <c r="M9" s="250"/>
      <c r="N9" s="250"/>
      <c r="O9" s="250"/>
      <c r="P9" s="250"/>
      <c r="Q9" s="250"/>
      <c r="R9" s="250"/>
      <c r="S9" s="250"/>
    </row>
    <row r="10" spans="1:19" ht="21" customHeight="1">
      <c r="A10" s="246" t="s">
        <v>95</v>
      </c>
      <c r="B10" s="134">
        <v>158510</v>
      </c>
      <c r="C10" s="134">
        <v>163946</v>
      </c>
      <c r="D10" s="260">
        <f t="shared" si="0"/>
        <v>3.4</v>
      </c>
      <c r="E10" s="185"/>
      <c r="H10" s="250"/>
      <c r="I10" s="250"/>
      <c r="J10" s="250"/>
      <c r="K10" s="250"/>
      <c r="L10" s="250"/>
      <c r="M10" s="250"/>
      <c r="N10" s="250"/>
      <c r="O10" s="250"/>
      <c r="P10" s="250"/>
      <c r="Q10" s="250"/>
      <c r="R10" s="250"/>
      <c r="S10" s="250"/>
    </row>
    <row r="11" spans="1:19" ht="21" customHeight="1">
      <c r="A11" s="246" t="s">
        <v>96</v>
      </c>
      <c r="B11" s="134">
        <v>96035</v>
      </c>
      <c r="C11" s="134">
        <v>103205</v>
      </c>
      <c r="D11" s="260">
        <f t="shared" si="0"/>
        <v>7.5</v>
      </c>
      <c r="E11" s="185"/>
      <c r="H11" s="250"/>
      <c r="I11" s="250"/>
      <c r="J11" s="250"/>
      <c r="K11" s="250"/>
      <c r="L11" s="250"/>
      <c r="M11" s="250"/>
      <c r="N11" s="250"/>
      <c r="O11" s="250"/>
      <c r="P11" s="250"/>
      <c r="Q11" s="250"/>
      <c r="R11" s="250"/>
      <c r="S11" s="250"/>
    </row>
    <row r="12" spans="1:19" ht="21" customHeight="1">
      <c r="A12" s="246" t="s">
        <v>97</v>
      </c>
      <c r="B12" s="134">
        <v>53266</v>
      </c>
      <c r="C12" s="134">
        <f>53683+5000</f>
        <v>58683</v>
      </c>
      <c r="D12" s="260">
        <f t="shared" si="0"/>
        <v>10.199999999999999</v>
      </c>
      <c r="E12" s="185"/>
      <c r="H12" s="250"/>
      <c r="I12" s="250"/>
      <c r="J12" s="250"/>
      <c r="K12" s="250"/>
      <c r="L12" s="250"/>
      <c r="M12" s="250"/>
      <c r="N12" s="250"/>
      <c r="O12" s="250"/>
      <c r="P12" s="250"/>
      <c r="Q12" s="250"/>
      <c r="R12" s="250"/>
      <c r="S12" s="250"/>
    </row>
    <row r="13" spans="1:19" ht="21" customHeight="1">
      <c r="A13" s="246" t="s">
        <v>98</v>
      </c>
      <c r="B13" s="134">
        <v>65843</v>
      </c>
      <c r="C13" s="134">
        <f>66236+5000</f>
        <v>71236</v>
      </c>
      <c r="D13" s="260">
        <f t="shared" si="0"/>
        <v>8.1999999999999993</v>
      </c>
      <c r="E13" s="185"/>
      <c r="H13" s="250"/>
      <c r="I13" s="250"/>
      <c r="J13" s="250"/>
      <c r="K13" s="250"/>
      <c r="L13" s="250"/>
      <c r="M13" s="250"/>
      <c r="N13" s="250"/>
      <c r="O13" s="250"/>
      <c r="P13" s="250"/>
      <c r="Q13" s="250"/>
      <c r="R13" s="250"/>
      <c r="S13" s="250"/>
    </row>
    <row r="14" spans="1:19" ht="21" customHeight="1">
      <c r="A14" s="246" t="s">
        <v>99</v>
      </c>
      <c r="B14" s="134">
        <v>143835</v>
      </c>
      <c r="C14" s="134">
        <v>148610</v>
      </c>
      <c r="D14" s="260">
        <f t="shared" si="0"/>
        <v>3.3</v>
      </c>
      <c r="E14" s="185"/>
      <c r="H14" s="250"/>
      <c r="I14" s="250"/>
      <c r="J14" s="250"/>
      <c r="K14" s="250"/>
      <c r="L14" s="250"/>
      <c r="M14" s="250"/>
      <c r="N14" s="250"/>
      <c r="O14" s="250"/>
      <c r="P14" s="250"/>
      <c r="Q14" s="250"/>
      <c r="R14" s="250"/>
      <c r="S14" s="250"/>
    </row>
    <row r="15" spans="1:19" ht="21" customHeight="1">
      <c r="A15" s="246" t="s">
        <v>100</v>
      </c>
      <c r="B15" s="134">
        <v>18130</v>
      </c>
      <c r="C15" s="134">
        <v>20205</v>
      </c>
      <c r="D15" s="260">
        <f t="shared" si="0"/>
        <v>11.4</v>
      </c>
      <c r="E15" s="185"/>
      <c r="H15" s="250"/>
      <c r="I15" s="250"/>
      <c r="J15" s="250"/>
      <c r="K15" s="250"/>
      <c r="L15" s="250"/>
      <c r="M15" s="250"/>
      <c r="N15" s="250"/>
      <c r="O15" s="250"/>
      <c r="P15" s="250"/>
      <c r="Q15" s="250"/>
      <c r="R15" s="250"/>
      <c r="S15" s="250"/>
    </row>
    <row r="16" spans="1:19" ht="21" customHeight="1">
      <c r="A16" s="246" t="s">
        <v>193</v>
      </c>
      <c r="B16" s="134">
        <v>19852</v>
      </c>
      <c r="C16" s="134">
        <v>19916</v>
      </c>
      <c r="D16" s="260">
        <f t="shared" si="0"/>
        <v>0.3</v>
      </c>
      <c r="E16" s="185"/>
      <c r="H16" s="250"/>
      <c r="I16" s="250"/>
      <c r="J16" s="250"/>
      <c r="K16" s="250"/>
      <c r="L16" s="250"/>
      <c r="M16" s="250"/>
      <c r="N16" s="250"/>
      <c r="O16" s="250"/>
      <c r="P16" s="250"/>
      <c r="Q16" s="250"/>
      <c r="R16" s="250"/>
      <c r="S16" s="250"/>
    </row>
    <row r="17" spans="1:19" ht="21" customHeight="1">
      <c r="A17" s="246" t="s">
        <v>102</v>
      </c>
      <c r="B17" s="134">
        <v>8632</v>
      </c>
      <c r="C17" s="134">
        <v>8728</v>
      </c>
      <c r="D17" s="260">
        <f t="shared" si="0"/>
        <v>1.1000000000000001</v>
      </c>
      <c r="E17" s="185"/>
      <c r="H17" s="250"/>
      <c r="I17" s="250"/>
      <c r="J17" s="250"/>
      <c r="K17" s="250"/>
      <c r="L17" s="250"/>
      <c r="M17" s="250"/>
      <c r="N17" s="250"/>
      <c r="O17" s="250"/>
      <c r="P17" s="250"/>
      <c r="Q17" s="250"/>
      <c r="R17" s="250"/>
      <c r="S17" s="250"/>
    </row>
    <row r="18" spans="1:19" ht="21" customHeight="1">
      <c r="A18" s="246" t="s">
        <v>103</v>
      </c>
      <c r="B18" s="134">
        <v>1530</v>
      </c>
      <c r="C18" s="134">
        <v>1572</v>
      </c>
      <c r="D18" s="260">
        <f t="shared" si="0"/>
        <v>2.7</v>
      </c>
      <c r="E18" s="185"/>
      <c r="H18" s="250"/>
      <c r="I18" s="250"/>
      <c r="J18" s="250"/>
      <c r="K18" s="250"/>
      <c r="L18" s="250"/>
      <c r="M18" s="250"/>
      <c r="N18" s="250"/>
      <c r="O18" s="250"/>
      <c r="P18" s="250"/>
      <c r="Q18" s="250"/>
      <c r="R18" s="250"/>
      <c r="S18" s="250"/>
    </row>
    <row r="19" spans="1:19" ht="21" customHeight="1">
      <c r="A19" s="246" t="s">
        <v>104</v>
      </c>
      <c r="B19" s="134"/>
      <c r="C19" s="134"/>
      <c r="D19" s="260"/>
      <c r="E19" s="185"/>
      <c r="H19" s="250"/>
      <c r="I19" s="250"/>
      <c r="J19" s="250"/>
      <c r="K19" s="250"/>
      <c r="L19" s="250"/>
      <c r="M19" s="250"/>
      <c r="N19" s="250"/>
      <c r="O19" s="250"/>
      <c r="P19" s="250"/>
      <c r="Q19" s="250"/>
      <c r="R19" s="250"/>
      <c r="S19" s="250"/>
    </row>
    <row r="20" spans="1:19" ht="21" customHeight="1">
      <c r="A20" s="246" t="s">
        <v>105</v>
      </c>
      <c r="B20" s="134">
        <v>53143</v>
      </c>
      <c r="C20" s="134">
        <f>28022+19201-1717+5000</f>
        <v>50506</v>
      </c>
      <c r="D20" s="260">
        <f t="shared" ref="D20:D26" si="1">(C20/B20-1)*100</f>
        <v>-5</v>
      </c>
      <c r="E20" s="185"/>
      <c r="H20" s="250"/>
      <c r="I20" s="250"/>
      <c r="J20" s="250"/>
      <c r="K20" s="250"/>
      <c r="L20" s="250"/>
      <c r="M20" s="250"/>
      <c r="N20" s="250"/>
      <c r="O20" s="250"/>
      <c r="P20" s="250"/>
      <c r="Q20" s="250"/>
      <c r="R20" s="250"/>
      <c r="S20" s="250"/>
    </row>
    <row r="21" spans="1:19" ht="21" customHeight="1">
      <c r="A21" s="246" t="s">
        <v>106</v>
      </c>
      <c r="B21" s="134">
        <v>47036</v>
      </c>
      <c r="C21" s="134">
        <v>48712</v>
      </c>
      <c r="D21" s="260">
        <f t="shared" si="1"/>
        <v>3.6</v>
      </c>
      <c r="E21" s="185"/>
      <c r="H21" s="250"/>
      <c r="I21" s="250"/>
      <c r="J21" s="250"/>
      <c r="K21" s="250"/>
      <c r="L21" s="250"/>
      <c r="M21" s="250"/>
      <c r="N21" s="250"/>
      <c r="O21" s="250"/>
      <c r="P21" s="250"/>
      <c r="Q21" s="250"/>
      <c r="R21" s="250"/>
      <c r="S21" s="250"/>
    </row>
    <row r="22" spans="1:19" ht="21" customHeight="1">
      <c r="A22" s="246" t="s">
        <v>107</v>
      </c>
      <c r="B22" s="134">
        <v>2398</v>
      </c>
      <c r="C22" s="134">
        <v>2619</v>
      </c>
      <c r="D22" s="260">
        <f t="shared" si="1"/>
        <v>9.1999999999999993</v>
      </c>
      <c r="E22" s="185"/>
      <c r="H22" s="250"/>
      <c r="I22" s="250"/>
      <c r="J22" s="250"/>
      <c r="K22" s="250"/>
      <c r="L22" s="250"/>
      <c r="M22" s="250"/>
      <c r="N22" s="250"/>
      <c r="O22" s="250"/>
      <c r="P22" s="250"/>
      <c r="Q22" s="250"/>
      <c r="R22" s="250"/>
      <c r="S22" s="250"/>
    </row>
    <row r="23" spans="1:19" ht="21" customHeight="1">
      <c r="A23" s="246" t="s">
        <v>108</v>
      </c>
      <c r="B23" s="134">
        <v>3880</v>
      </c>
      <c r="C23" s="134">
        <v>7279</v>
      </c>
      <c r="D23" s="260">
        <f t="shared" si="1"/>
        <v>87.6</v>
      </c>
      <c r="E23" s="185"/>
      <c r="H23" s="250"/>
      <c r="I23" s="250"/>
      <c r="J23" s="250"/>
      <c r="K23" s="250"/>
      <c r="L23" s="250"/>
      <c r="M23" s="250"/>
      <c r="N23" s="250"/>
      <c r="O23" s="250"/>
      <c r="P23" s="250"/>
      <c r="Q23" s="250"/>
      <c r="R23" s="250"/>
      <c r="S23" s="250"/>
    </row>
    <row r="24" spans="1:19" ht="21" customHeight="1">
      <c r="A24" s="246" t="s">
        <v>194</v>
      </c>
      <c r="B24" s="134">
        <v>13590</v>
      </c>
      <c r="C24" s="134">
        <v>13590</v>
      </c>
      <c r="D24" s="260">
        <f t="shared" si="1"/>
        <v>0</v>
      </c>
      <c r="E24" s="185"/>
      <c r="H24" s="250"/>
      <c r="I24" s="250"/>
      <c r="J24" s="250"/>
      <c r="K24" s="250"/>
      <c r="L24" s="250"/>
      <c r="M24" s="250"/>
      <c r="N24" s="250"/>
      <c r="O24" s="250"/>
      <c r="P24" s="250"/>
      <c r="Q24" s="250"/>
      <c r="R24" s="250"/>
      <c r="S24" s="250"/>
    </row>
    <row r="25" spans="1:19" ht="21" customHeight="1">
      <c r="A25" s="246" t="s">
        <v>195</v>
      </c>
      <c r="B25" s="134">
        <v>7315</v>
      </c>
      <c r="C25" s="134">
        <v>15800</v>
      </c>
      <c r="D25" s="260">
        <f t="shared" si="1"/>
        <v>116</v>
      </c>
      <c r="E25" s="185"/>
      <c r="H25" s="250"/>
      <c r="I25" s="250"/>
      <c r="J25" s="250"/>
      <c r="K25" s="250"/>
      <c r="L25" s="250"/>
      <c r="M25" s="250"/>
      <c r="N25" s="250"/>
      <c r="O25" s="250"/>
      <c r="P25" s="250"/>
      <c r="Q25" s="250"/>
      <c r="R25" s="250"/>
      <c r="S25" s="250"/>
    </row>
    <row r="26" spans="1:19" ht="21" customHeight="1">
      <c r="A26" s="246" t="s">
        <v>196</v>
      </c>
      <c r="B26" s="134">
        <v>34667</v>
      </c>
      <c r="C26" s="134">
        <v>35000</v>
      </c>
      <c r="D26" s="260">
        <f t="shared" si="1"/>
        <v>1</v>
      </c>
      <c r="E26" s="185"/>
      <c r="H26" s="250"/>
      <c r="I26" s="250"/>
      <c r="J26" s="250"/>
      <c r="K26" s="250"/>
      <c r="L26" s="250"/>
      <c r="M26" s="250"/>
      <c r="N26" s="250"/>
      <c r="O26" s="250"/>
      <c r="P26" s="250"/>
      <c r="Q26" s="250"/>
      <c r="R26" s="250"/>
      <c r="S26" s="250"/>
    </row>
    <row r="27" spans="1:19" ht="21" customHeight="1">
      <c r="A27" s="246" t="s">
        <v>197</v>
      </c>
      <c r="B27" s="134"/>
      <c r="C27" s="134">
        <v>200</v>
      </c>
      <c r="D27" s="260"/>
      <c r="E27" s="185"/>
      <c r="H27" s="250"/>
      <c r="I27" s="250"/>
      <c r="J27" s="250"/>
      <c r="K27" s="250"/>
      <c r="L27" s="250"/>
      <c r="M27" s="250"/>
      <c r="N27" s="250"/>
      <c r="O27" s="250"/>
      <c r="P27" s="250"/>
      <c r="Q27" s="250"/>
      <c r="R27" s="250"/>
      <c r="S27" s="250"/>
    </row>
    <row r="28" spans="1:19" ht="21" customHeight="1">
      <c r="A28" s="247" t="s">
        <v>113</v>
      </c>
      <c r="B28" s="208">
        <f>SUM(B4:B27)</f>
        <v>1066404</v>
      </c>
      <c r="C28" s="208">
        <f>SUM(C4:C27)</f>
        <v>1119304</v>
      </c>
      <c r="D28" s="256">
        <f>(C28/B28-1)*100</f>
        <v>5</v>
      </c>
      <c r="E28" s="185"/>
      <c r="H28" s="250"/>
      <c r="I28" s="250"/>
      <c r="J28" s="250"/>
      <c r="K28" s="250"/>
      <c r="L28" s="250"/>
      <c r="M28" s="250"/>
      <c r="N28" s="250"/>
      <c r="O28" s="250"/>
      <c r="P28" s="250"/>
      <c r="Q28" s="250"/>
      <c r="R28" s="250"/>
      <c r="S28" s="250"/>
    </row>
    <row r="29" spans="1:19" ht="22.5" customHeight="1">
      <c r="A29" s="248" t="s">
        <v>198</v>
      </c>
      <c r="B29" s="134"/>
      <c r="C29" s="134">
        <f>SUM(C30:C31)</f>
        <v>1717</v>
      </c>
      <c r="D29" s="281"/>
      <c r="E29" s="185"/>
      <c r="H29" s="250"/>
      <c r="I29" s="250"/>
      <c r="J29" s="250"/>
      <c r="K29" s="250"/>
      <c r="L29" s="250"/>
      <c r="M29" s="250"/>
      <c r="N29" s="250"/>
      <c r="O29" s="250"/>
      <c r="P29" s="250"/>
      <c r="Q29" s="250"/>
      <c r="R29" s="250"/>
      <c r="S29" s="250"/>
    </row>
    <row r="30" spans="1:19" ht="24.95" hidden="1" customHeight="1">
      <c r="A30" s="266" t="s">
        <v>199</v>
      </c>
      <c r="B30" s="134"/>
      <c r="C30" s="134"/>
      <c r="D30" s="281"/>
      <c r="E30" s="185"/>
      <c r="H30" s="250"/>
      <c r="I30" s="250"/>
      <c r="J30" s="250"/>
      <c r="K30" s="250"/>
      <c r="L30" s="250"/>
      <c r="M30" s="250"/>
      <c r="N30" s="250"/>
      <c r="O30" s="250"/>
      <c r="P30" s="250"/>
      <c r="Q30" s="250"/>
      <c r="R30" s="250"/>
      <c r="S30" s="250"/>
    </row>
    <row r="31" spans="1:19" ht="24.95" customHeight="1">
      <c r="A31" s="266" t="s">
        <v>200</v>
      </c>
      <c r="B31" s="134"/>
      <c r="C31" s="134">
        <v>1717</v>
      </c>
      <c r="D31" s="281"/>
      <c r="E31" s="185"/>
      <c r="H31" s="250"/>
      <c r="I31" s="250"/>
      <c r="J31" s="250"/>
      <c r="K31" s="250"/>
      <c r="L31" s="250"/>
      <c r="M31" s="250"/>
      <c r="N31" s="250"/>
      <c r="O31" s="250"/>
      <c r="P31" s="250"/>
      <c r="Q31" s="250"/>
      <c r="R31" s="250"/>
      <c r="S31" s="250"/>
    </row>
    <row r="32" spans="1:19" ht="24.95" hidden="1" customHeight="1">
      <c r="A32" s="282"/>
      <c r="B32" s="134"/>
      <c r="C32" s="134"/>
      <c r="D32" s="281"/>
      <c r="E32" s="185"/>
      <c r="H32" s="250"/>
      <c r="I32" s="250"/>
      <c r="J32" s="250"/>
      <c r="K32" s="250"/>
      <c r="L32" s="250"/>
      <c r="M32" s="250"/>
      <c r="N32" s="250"/>
      <c r="O32" s="250"/>
      <c r="P32" s="250"/>
      <c r="Q32" s="250"/>
      <c r="R32" s="250"/>
      <c r="S32" s="250"/>
    </row>
    <row r="33" spans="1:19" ht="24.95" customHeight="1">
      <c r="A33" s="247" t="s">
        <v>201</v>
      </c>
      <c r="B33" s="208"/>
      <c r="C33" s="208">
        <f>C28+C29</f>
        <v>1121021</v>
      </c>
      <c r="D33" s="281"/>
      <c r="E33" s="185"/>
      <c r="H33" s="250"/>
      <c r="I33" s="250"/>
      <c r="J33" s="250"/>
      <c r="K33" s="250"/>
      <c r="L33" s="250"/>
      <c r="M33" s="250"/>
      <c r="N33" s="250"/>
      <c r="O33" s="250"/>
      <c r="P33" s="250"/>
      <c r="Q33" s="250"/>
      <c r="R33" s="250"/>
      <c r="S33" s="250"/>
    </row>
    <row r="34" spans="1:19" ht="18" customHeight="1">
      <c r="A34" s="283"/>
    </row>
    <row r="36" spans="1:19">
      <c r="C36" s="284"/>
    </row>
  </sheetData>
  <mergeCells count="1">
    <mergeCell ref="A1:E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3"/>
  <sheetViews>
    <sheetView showZeros="0" view="pageBreakPreview" zoomScaleNormal="100" zoomScaleSheetLayoutView="100" workbookViewId="0">
      <pane xSplit="1" ySplit="3" topLeftCell="B13" activePane="bottomRight" state="frozen"/>
      <selection pane="topRight"/>
      <selection pane="bottomLeft"/>
      <selection pane="bottomRight" activeCell="F12" sqref="F12"/>
    </sheetView>
  </sheetViews>
  <sheetFormatPr defaultColWidth="9.125" defaultRowHeight="13.5"/>
  <cols>
    <col min="1" max="1" width="36.375" style="121" customWidth="1"/>
    <col min="2" max="3" width="9.875" style="121" customWidth="1"/>
    <col min="4" max="4" width="11.25" style="121" customWidth="1"/>
    <col min="5" max="5" width="10.75" style="121" customWidth="1"/>
    <col min="6" max="6" width="9.125" style="121" customWidth="1"/>
    <col min="7" max="16384" width="9.125" style="121"/>
  </cols>
  <sheetData>
    <row r="1" spans="1:5" ht="30" customHeight="1">
      <c r="A1" s="349" t="s">
        <v>202</v>
      </c>
      <c r="B1" s="349"/>
      <c r="C1" s="349"/>
      <c r="D1" s="349"/>
      <c r="E1" s="349"/>
    </row>
    <row r="2" spans="1:5" ht="20.100000000000001" customHeight="1">
      <c r="A2" s="161" t="s">
        <v>203</v>
      </c>
      <c r="E2" s="7" t="s">
        <v>86</v>
      </c>
    </row>
    <row r="3" spans="1:5" ht="35.1" customHeight="1">
      <c r="A3" s="122" t="s">
        <v>204</v>
      </c>
      <c r="B3" s="252" t="s">
        <v>138</v>
      </c>
      <c r="C3" s="252" t="s">
        <v>139</v>
      </c>
      <c r="D3" s="253" t="s">
        <v>205</v>
      </c>
      <c r="E3" s="253" t="s">
        <v>88</v>
      </c>
    </row>
    <row r="4" spans="1:5" s="119" customFormat="1" ht="24.95" customHeight="1">
      <c r="A4" s="254" t="s">
        <v>60</v>
      </c>
      <c r="B4" s="255">
        <f>SUM(B5:B18)</f>
        <v>59736</v>
      </c>
      <c r="C4" s="255">
        <f>SUM(C5:C18)</f>
        <v>73220</v>
      </c>
      <c r="D4" s="256">
        <f>(C4/B4-1)*100</f>
        <v>22.6</v>
      </c>
      <c r="E4" s="257"/>
    </row>
    <row r="5" spans="1:5" ht="24.95" customHeight="1">
      <c r="A5" s="258" t="s">
        <v>141</v>
      </c>
      <c r="B5" s="259">
        <v>26477</v>
      </c>
      <c r="C5" s="259">
        <v>28500</v>
      </c>
      <c r="D5" s="260">
        <f t="shared" ref="D5:D15" si="0">(C5/B5-1)*100</f>
        <v>7.6</v>
      </c>
      <c r="E5" s="137"/>
    </row>
    <row r="6" spans="1:5" ht="24.95" customHeight="1">
      <c r="A6" s="258" t="s">
        <v>142</v>
      </c>
      <c r="B6" s="259">
        <v>1683</v>
      </c>
      <c r="C6" s="259">
        <v>1800</v>
      </c>
      <c r="D6" s="260">
        <f t="shared" si="0"/>
        <v>7</v>
      </c>
      <c r="E6" s="137"/>
    </row>
    <row r="7" spans="1:5" ht="24.95" customHeight="1">
      <c r="A7" s="258" t="s">
        <v>143</v>
      </c>
      <c r="B7" s="259">
        <v>433</v>
      </c>
      <c r="C7" s="259">
        <v>450</v>
      </c>
      <c r="D7" s="260">
        <f t="shared" si="0"/>
        <v>3.9</v>
      </c>
      <c r="E7" s="137"/>
    </row>
    <row r="8" spans="1:5" ht="24.95" customHeight="1">
      <c r="A8" s="258" t="s">
        <v>144</v>
      </c>
      <c r="B8" s="259">
        <v>16031</v>
      </c>
      <c r="C8" s="259">
        <v>17200</v>
      </c>
      <c r="D8" s="260">
        <f t="shared" si="0"/>
        <v>7.3</v>
      </c>
      <c r="E8" s="137"/>
    </row>
    <row r="9" spans="1:5" ht="24.95" customHeight="1">
      <c r="A9" s="258" t="s">
        <v>145</v>
      </c>
      <c r="B9" s="259">
        <v>4979</v>
      </c>
      <c r="C9" s="259">
        <v>5400</v>
      </c>
      <c r="D9" s="260">
        <f t="shared" si="0"/>
        <v>8.5</v>
      </c>
      <c r="E9" s="137"/>
    </row>
    <row r="10" spans="1:5" ht="24.95" customHeight="1">
      <c r="A10" s="258" t="s">
        <v>146</v>
      </c>
      <c r="B10" s="259">
        <v>2737</v>
      </c>
      <c r="C10" s="259">
        <v>3000</v>
      </c>
      <c r="D10" s="260">
        <f t="shared" si="0"/>
        <v>9.6</v>
      </c>
      <c r="E10" s="137"/>
    </row>
    <row r="11" spans="1:5" ht="24.95" customHeight="1">
      <c r="A11" s="258" t="s">
        <v>147</v>
      </c>
      <c r="B11" s="259">
        <v>1402</v>
      </c>
      <c r="C11" s="259">
        <v>1500</v>
      </c>
      <c r="D11" s="260">
        <f t="shared" si="0"/>
        <v>7</v>
      </c>
      <c r="E11" s="137"/>
    </row>
    <row r="12" spans="1:5" ht="24.95" customHeight="1">
      <c r="A12" s="258" t="s">
        <v>148</v>
      </c>
      <c r="B12" s="259">
        <v>1764</v>
      </c>
      <c r="C12" s="259">
        <v>1900</v>
      </c>
      <c r="D12" s="260">
        <f t="shared" si="0"/>
        <v>7.7</v>
      </c>
      <c r="E12" s="137"/>
    </row>
    <row r="13" spans="1:5" ht="24.95" customHeight="1">
      <c r="A13" s="258" t="s">
        <v>149</v>
      </c>
      <c r="B13" s="259">
        <v>575</v>
      </c>
      <c r="C13" s="259">
        <v>620</v>
      </c>
      <c r="D13" s="260">
        <f t="shared" si="0"/>
        <v>7.8</v>
      </c>
      <c r="E13" s="137"/>
    </row>
    <row r="14" spans="1:5" ht="24.95" customHeight="1">
      <c r="A14" s="258" t="s">
        <v>150</v>
      </c>
      <c r="B14" s="259">
        <v>1453</v>
      </c>
      <c r="C14" s="259">
        <v>1550</v>
      </c>
      <c r="D14" s="260">
        <f t="shared" si="0"/>
        <v>6.7</v>
      </c>
      <c r="E14" s="137"/>
    </row>
    <row r="15" spans="1:5" ht="24.95" customHeight="1">
      <c r="A15" s="258" t="s">
        <v>151</v>
      </c>
      <c r="B15" s="259">
        <v>5044</v>
      </c>
      <c r="C15" s="259">
        <v>5500</v>
      </c>
      <c r="D15" s="260">
        <f t="shared" si="0"/>
        <v>9</v>
      </c>
      <c r="E15" s="137"/>
    </row>
    <row r="16" spans="1:5" ht="24.95" customHeight="1">
      <c r="A16" s="258" t="s">
        <v>152</v>
      </c>
      <c r="B16" s="259">
        <v>-3386</v>
      </c>
      <c r="C16" s="259">
        <v>5200</v>
      </c>
      <c r="D16" s="260"/>
      <c r="E16" s="137"/>
    </row>
    <row r="17" spans="1:5" ht="24.95" customHeight="1">
      <c r="A17" s="258" t="s">
        <v>153</v>
      </c>
      <c r="B17" s="259">
        <v>544</v>
      </c>
      <c r="C17" s="259">
        <v>600</v>
      </c>
      <c r="D17" s="260">
        <f t="shared" ref="D17" si="1">(C17/B17-1)*100</f>
        <v>10.3</v>
      </c>
      <c r="E17" s="137"/>
    </row>
    <row r="18" spans="1:5" ht="24.95" customHeight="1">
      <c r="A18" s="258" t="s">
        <v>154</v>
      </c>
      <c r="B18" s="259"/>
      <c r="C18" s="259"/>
      <c r="D18" s="260"/>
      <c r="E18" s="137"/>
    </row>
    <row r="19" spans="1:5" s="119" customFormat="1" ht="24.95" customHeight="1">
      <c r="A19" s="254" t="s">
        <v>75</v>
      </c>
      <c r="B19" s="255">
        <f>SUM(B20:B27)</f>
        <v>49896</v>
      </c>
      <c r="C19" s="255">
        <f>SUM(C20:C27)</f>
        <v>41880</v>
      </c>
      <c r="D19" s="260">
        <f t="shared" ref="D19:D22" si="2">(C19/B19-1)*100</f>
        <v>-16.100000000000001</v>
      </c>
      <c r="E19" s="257"/>
    </row>
    <row r="20" spans="1:5" ht="24.95" customHeight="1">
      <c r="A20" s="258" t="s">
        <v>155</v>
      </c>
      <c r="B20" s="259">
        <v>6699</v>
      </c>
      <c r="C20" s="259">
        <v>6050</v>
      </c>
      <c r="D20" s="260">
        <f t="shared" si="2"/>
        <v>-9.6999999999999993</v>
      </c>
      <c r="E20" s="137"/>
    </row>
    <row r="21" spans="1:5" ht="24.95" customHeight="1">
      <c r="A21" s="258" t="s">
        <v>156</v>
      </c>
      <c r="B21" s="259">
        <v>8438</v>
      </c>
      <c r="C21" s="259">
        <v>7600</v>
      </c>
      <c r="D21" s="260">
        <f t="shared" si="2"/>
        <v>-9.9</v>
      </c>
      <c r="E21" s="137"/>
    </row>
    <row r="22" spans="1:5" ht="24.95" customHeight="1">
      <c r="A22" s="258" t="s">
        <v>157</v>
      </c>
      <c r="B22" s="259">
        <v>7734</v>
      </c>
      <c r="C22" s="259">
        <v>7200</v>
      </c>
      <c r="D22" s="260">
        <f t="shared" si="2"/>
        <v>-6.9</v>
      </c>
      <c r="E22" s="137"/>
    </row>
    <row r="23" spans="1:5" ht="24.95" customHeight="1">
      <c r="A23" s="258" t="s">
        <v>158</v>
      </c>
      <c r="B23" s="259"/>
      <c r="C23" s="259"/>
      <c r="D23" s="260"/>
      <c r="E23" s="137"/>
    </row>
    <row r="24" spans="1:5" ht="24.95" customHeight="1">
      <c r="A24" s="258" t="s">
        <v>159</v>
      </c>
      <c r="B24" s="259">
        <v>8512</v>
      </c>
      <c r="C24" s="259">
        <v>7700</v>
      </c>
      <c r="D24" s="260">
        <f t="shared" ref="D24" si="3">(C24/B24-1)*100</f>
        <v>-9.5</v>
      </c>
      <c r="E24" s="137"/>
    </row>
    <row r="25" spans="1:5" ht="24.95" customHeight="1">
      <c r="A25" s="258" t="s">
        <v>160</v>
      </c>
      <c r="B25" s="259"/>
      <c r="C25" s="259"/>
      <c r="D25" s="260"/>
      <c r="E25" s="137"/>
    </row>
    <row r="26" spans="1:5" ht="24.95" customHeight="1">
      <c r="A26" s="258" t="s">
        <v>161</v>
      </c>
      <c r="B26" s="259">
        <v>18431</v>
      </c>
      <c r="C26" s="259">
        <v>13330</v>
      </c>
      <c r="D26" s="260">
        <f t="shared" ref="D26:D28" si="4">(C26/B26-1)*100</f>
        <v>-27.7</v>
      </c>
      <c r="E26" s="137"/>
    </row>
    <row r="27" spans="1:5" ht="24.95" customHeight="1">
      <c r="A27" s="258" t="s">
        <v>162</v>
      </c>
      <c r="B27" s="259">
        <v>82</v>
      </c>
      <c r="C27" s="261"/>
      <c r="D27" s="260">
        <f t="shared" si="4"/>
        <v>-100</v>
      </c>
      <c r="E27" s="137"/>
    </row>
    <row r="28" spans="1:5" s="251" customFormat="1" ht="24.95" customHeight="1">
      <c r="A28" s="247" t="s">
        <v>83</v>
      </c>
      <c r="B28" s="255">
        <f>B4+B19</f>
        <v>109632</v>
      </c>
      <c r="C28" s="255">
        <f>C4+C19</f>
        <v>115100</v>
      </c>
      <c r="D28" s="260">
        <f t="shared" si="4"/>
        <v>5</v>
      </c>
      <c r="E28" s="262"/>
    </row>
    <row r="29" spans="1:5" ht="24.95" customHeight="1">
      <c r="A29" s="254" t="s">
        <v>163</v>
      </c>
      <c r="B29" s="263"/>
      <c r="C29" s="208">
        <f>C30+C34+C37+C40</f>
        <v>859937</v>
      </c>
      <c r="D29" s="264"/>
      <c r="E29" s="137"/>
    </row>
    <row r="30" spans="1:5" ht="24.95" customHeight="1">
      <c r="A30" s="265" t="s">
        <v>206</v>
      </c>
      <c r="B30" s="134"/>
      <c r="C30" s="134">
        <f>SUM(C31:C33)</f>
        <v>757274</v>
      </c>
      <c r="D30" s="264"/>
      <c r="E30" s="137"/>
    </row>
    <row r="31" spans="1:5" ht="24.95" customHeight="1">
      <c r="A31" s="125" t="s">
        <v>165</v>
      </c>
      <c r="B31" s="134"/>
      <c r="C31" s="134">
        <v>23315</v>
      </c>
      <c r="D31" s="264"/>
      <c r="E31" s="137"/>
    </row>
    <row r="32" spans="1:5" ht="24.95" customHeight="1">
      <c r="A32" s="125" t="s">
        <v>207</v>
      </c>
      <c r="B32" s="134"/>
      <c r="C32" s="134">
        <v>362879</v>
      </c>
      <c r="D32" s="264"/>
      <c r="E32" s="137"/>
    </row>
    <row r="33" spans="1:5" ht="24.95" customHeight="1">
      <c r="A33" s="125" t="s">
        <v>208</v>
      </c>
      <c r="B33" s="134"/>
      <c r="C33" s="134">
        <v>371080</v>
      </c>
      <c r="D33" s="264"/>
      <c r="E33" s="137"/>
    </row>
    <row r="34" spans="1:5" ht="24.95" customHeight="1">
      <c r="A34" s="254" t="s">
        <v>209</v>
      </c>
      <c r="B34" s="134"/>
      <c r="C34" s="134">
        <f>SUM(C35:C36)</f>
        <v>1536</v>
      </c>
      <c r="D34" s="264"/>
      <c r="E34" s="137"/>
    </row>
    <row r="35" spans="1:5" ht="24.95" customHeight="1">
      <c r="A35" s="125" t="s">
        <v>210</v>
      </c>
      <c r="B35" s="134"/>
      <c r="C35" s="134"/>
      <c r="D35" s="264"/>
      <c r="E35" s="137"/>
    </row>
    <row r="36" spans="1:5" ht="24.75" customHeight="1">
      <c r="A36" s="125" t="s">
        <v>211</v>
      </c>
      <c r="B36" s="134"/>
      <c r="C36" s="134">
        <v>1536</v>
      </c>
      <c r="D36" s="264"/>
      <c r="E36" s="137"/>
    </row>
    <row r="37" spans="1:5" ht="24.95" customHeight="1">
      <c r="A37" s="254" t="s">
        <v>168</v>
      </c>
      <c r="B37" s="134"/>
      <c r="C37" s="134">
        <f>SUM(C38:C39)</f>
        <v>70000</v>
      </c>
      <c r="D37" s="264"/>
      <c r="E37" s="137"/>
    </row>
    <row r="38" spans="1:5" s="168" customFormat="1" ht="24.95" customHeight="1">
      <c r="A38" s="266" t="s">
        <v>169</v>
      </c>
      <c r="B38" s="267"/>
      <c r="C38" s="134">
        <v>50000</v>
      </c>
      <c r="D38" s="268"/>
      <c r="E38" s="185"/>
    </row>
    <row r="39" spans="1:5" s="168" customFormat="1" ht="24.95" customHeight="1">
      <c r="A39" s="266" t="s">
        <v>170</v>
      </c>
      <c r="B39" s="267"/>
      <c r="C39" s="134">
        <v>20000</v>
      </c>
      <c r="D39" s="268"/>
      <c r="E39" s="185"/>
    </row>
    <row r="40" spans="1:5" s="168" customFormat="1" ht="24.95" customHeight="1">
      <c r="A40" s="248" t="s">
        <v>171</v>
      </c>
      <c r="B40" s="267"/>
      <c r="C40" s="134">
        <v>31127</v>
      </c>
      <c r="D40" s="268"/>
      <c r="E40" s="185"/>
    </row>
    <row r="41" spans="1:5" ht="24" hidden="1" customHeight="1">
      <c r="A41" s="269" t="s">
        <v>212</v>
      </c>
      <c r="B41" s="270"/>
      <c r="C41" s="267"/>
      <c r="D41" s="264"/>
      <c r="E41" s="137"/>
    </row>
    <row r="42" spans="1:5" s="251" customFormat="1" ht="24.95" customHeight="1">
      <c r="A42" s="138" t="s">
        <v>172</v>
      </c>
      <c r="B42" s="263"/>
      <c r="C42" s="263">
        <f>C28+C29</f>
        <v>975037</v>
      </c>
      <c r="D42" s="264"/>
      <c r="E42" s="271"/>
    </row>
    <row r="43" spans="1:5" ht="18" customHeight="1">
      <c r="A43" s="70"/>
      <c r="B43" s="272"/>
      <c r="C43" s="272"/>
      <c r="D43" s="272"/>
      <c r="E43" s="272"/>
    </row>
  </sheetData>
  <mergeCells count="1">
    <mergeCell ref="A1:E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6"/>
  <sheetViews>
    <sheetView showZeros="0" topLeftCell="A10" zoomScale="115" zoomScaleNormal="115" workbookViewId="0">
      <selection activeCell="F30" sqref="F30"/>
    </sheetView>
  </sheetViews>
  <sheetFormatPr defaultColWidth="9" defaultRowHeight="12.75"/>
  <cols>
    <col min="1" max="1" width="50.625" style="168" customWidth="1"/>
    <col min="2" max="2" width="23.875" style="168" customWidth="1"/>
    <col min="3" max="249" width="9" style="168" customWidth="1"/>
    <col min="250" max="16384" width="9" style="168"/>
  </cols>
  <sheetData>
    <row r="1" spans="1:27" s="244" customFormat="1" ht="30" customHeight="1">
      <c r="A1" s="349" t="s">
        <v>213</v>
      </c>
      <c r="B1" s="349"/>
    </row>
    <row r="2" spans="1:27" s="245" customFormat="1" ht="20.100000000000001" customHeight="1">
      <c r="A2" s="161" t="s">
        <v>214</v>
      </c>
      <c r="B2" s="7" t="s">
        <v>86</v>
      </c>
    </row>
    <row r="3" spans="1:27" ht="18.75" customHeight="1">
      <c r="A3" s="350" t="s">
        <v>54</v>
      </c>
      <c r="B3" s="350" t="s">
        <v>215</v>
      </c>
    </row>
    <row r="4" spans="1:27" ht="18.75" customHeight="1">
      <c r="A4" s="350"/>
      <c r="B4" s="350"/>
    </row>
    <row r="5" spans="1:27" ht="20.25" customHeight="1">
      <c r="A5" s="246" t="s">
        <v>89</v>
      </c>
      <c r="B5" s="134">
        <v>54509</v>
      </c>
      <c r="P5" s="250"/>
      <c r="Q5" s="250"/>
      <c r="R5" s="250"/>
      <c r="S5" s="250"/>
      <c r="T5" s="250"/>
      <c r="U5" s="250"/>
      <c r="V5" s="250"/>
      <c r="W5" s="250"/>
      <c r="X5" s="250"/>
      <c r="Y5" s="250"/>
      <c r="Z5" s="250"/>
      <c r="AA5" s="250"/>
    </row>
    <row r="6" spans="1:27" ht="20.25" customHeight="1">
      <c r="A6" s="246" t="s">
        <v>90</v>
      </c>
      <c r="B6" s="134"/>
      <c r="P6" s="250"/>
      <c r="Q6" s="250"/>
      <c r="R6" s="250"/>
      <c r="S6" s="250"/>
      <c r="T6" s="250"/>
      <c r="U6" s="250"/>
      <c r="V6" s="250"/>
      <c r="W6" s="250"/>
      <c r="X6" s="250"/>
      <c r="Y6" s="250"/>
      <c r="Z6" s="250"/>
      <c r="AA6" s="250"/>
    </row>
    <row r="7" spans="1:27" ht="20.25" customHeight="1">
      <c r="A7" s="246" t="s">
        <v>91</v>
      </c>
      <c r="B7" s="134">
        <v>37937</v>
      </c>
      <c r="P7" s="250"/>
      <c r="Q7" s="250"/>
      <c r="R7" s="250"/>
      <c r="S7" s="250"/>
      <c r="T7" s="250"/>
      <c r="U7" s="250"/>
      <c r="V7" s="250"/>
      <c r="W7" s="250"/>
      <c r="X7" s="250"/>
      <c r="Y7" s="250"/>
      <c r="Z7" s="250"/>
      <c r="AA7" s="250"/>
    </row>
    <row r="8" spans="1:27" ht="20.25" customHeight="1">
      <c r="A8" s="246" t="s">
        <v>92</v>
      </c>
      <c r="B8" s="134">
        <v>32574</v>
      </c>
      <c r="P8" s="250"/>
      <c r="Q8" s="250"/>
      <c r="R8" s="250"/>
      <c r="S8" s="250"/>
      <c r="T8" s="250"/>
      <c r="U8" s="250"/>
      <c r="V8" s="250"/>
      <c r="W8" s="250"/>
      <c r="X8" s="250"/>
      <c r="Y8" s="250"/>
      <c r="Z8" s="250"/>
      <c r="AA8" s="250"/>
    </row>
    <row r="9" spans="1:27" ht="20.25" customHeight="1">
      <c r="A9" s="246" t="s">
        <v>93</v>
      </c>
      <c r="B9" s="134">
        <v>1198</v>
      </c>
      <c r="P9" s="250"/>
      <c r="Q9" s="250"/>
      <c r="R9" s="250"/>
      <c r="S9" s="250"/>
      <c r="T9" s="250"/>
      <c r="U9" s="250"/>
      <c r="V9" s="250"/>
      <c r="W9" s="250"/>
      <c r="X9" s="250"/>
      <c r="Y9" s="250"/>
      <c r="Z9" s="250"/>
      <c r="AA9" s="250"/>
    </row>
    <row r="10" spans="1:27" ht="20.25" customHeight="1">
      <c r="A10" s="246" t="s">
        <v>94</v>
      </c>
      <c r="B10" s="134">
        <v>29154</v>
      </c>
      <c r="P10" s="250"/>
      <c r="Q10" s="250"/>
      <c r="R10" s="250"/>
      <c r="S10" s="250"/>
      <c r="T10" s="250"/>
      <c r="U10" s="250"/>
      <c r="V10" s="250"/>
      <c r="W10" s="250"/>
      <c r="X10" s="250"/>
      <c r="Y10" s="250"/>
      <c r="Z10" s="250"/>
      <c r="AA10" s="250"/>
    </row>
    <row r="11" spans="1:27" ht="20.25" customHeight="1">
      <c r="A11" s="246" t="s">
        <v>95</v>
      </c>
      <c r="B11" s="134">
        <v>51229</v>
      </c>
      <c r="P11" s="250"/>
      <c r="Q11" s="250"/>
      <c r="R11" s="250"/>
      <c r="S11" s="250"/>
      <c r="T11" s="250"/>
      <c r="U11" s="250"/>
      <c r="V11" s="250"/>
      <c r="W11" s="250"/>
      <c r="X11" s="250"/>
      <c r="Y11" s="250"/>
      <c r="Z11" s="250"/>
      <c r="AA11" s="250"/>
    </row>
    <row r="12" spans="1:27" ht="20.25" customHeight="1">
      <c r="A12" s="246" t="s">
        <v>96</v>
      </c>
      <c r="B12" s="134">
        <v>39368</v>
      </c>
      <c r="P12" s="250"/>
      <c r="Q12" s="250"/>
      <c r="R12" s="250"/>
      <c r="S12" s="250"/>
      <c r="T12" s="250"/>
      <c r="U12" s="250"/>
      <c r="V12" s="250"/>
      <c r="W12" s="250"/>
      <c r="X12" s="250"/>
      <c r="Y12" s="250"/>
      <c r="Z12" s="250"/>
      <c r="AA12" s="250"/>
    </row>
    <row r="13" spans="1:27" ht="20.25" customHeight="1">
      <c r="A13" s="246" t="s">
        <v>97</v>
      </c>
      <c r="B13" s="134">
        <f>12340+5000</f>
        <v>17340</v>
      </c>
      <c r="P13" s="250"/>
      <c r="Q13" s="250"/>
      <c r="R13" s="250"/>
      <c r="S13" s="250"/>
      <c r="T13" s="250"/>
      <c r="U13" s="250"/>
      <c r="V13" s="250"/>
      <c r="W13" s="250"/>
      <c r="X13" s="250"/>
      <c r="Y13" s="250"/>
      <c r="Z13" s="250"/>
      <c r="AA13" s="250"/>
    </row>
    <row r="14" spans="1:27" ht="20.25" customHeight="1">
      <c r="A14" s="246" t="s">
        <v>98</v>
      </c>
      <c r="B14" s="134">
        <v>22281</v>
      </c>
      <c r="P14" s="250"/>
      <c r="Q14" s="250"/>
      <c r="R14" s="250"/>
      <c r="S14" s="250"/>
      <c r="T14" s="250"/>
      <c r="U14" s="250"/>
      <c r="V14" s="250"/>
      <c r="W14" s="250"/>
      <c r="X14" s="250"/>
      <c r="Y14" s="250"/>
      <c r="Z14" s="250"/>
      <c r="AA14" s="250"/>
    </row>
    <row r="15" spans="1:27" ht="20.25" customHeight="1">
      <c r="A15" s="246" t="s">
        <v>99</v>
      </c>
      <c r="B15" s="134">
        <v>22840</v>
      </c>
      <c r="P15" s="250"/>
      <c r="Q15" s="250"/>
      <c r="R15" s="250"/>
      <c r="S15" s="250"/>
      <c r="T15" s="250"/>
      <c r="U15" s="250"/>
      <c r="V15" s="250"/>
      <c r="W15" s="250"/>
      <c r="X15" s="250"/>
      <c r="Y15" s="250"/>
      <c r="Z15" s="250"/>
      <c r="AA15" s="250"/>
    </row>
    <row r="16" spans="1:27" ht="20.25" customHeight="1">
      <c r="A16" s="246" t="s">
        <v>100</v>
      </c>
      <c r="B16" s="134">
        <v>19538</v>
      </c>
      <c r="P16" s="250"/>
      <c r="Q16" s="250"/>
      <c r="R16" s="250"/>
      <c r="S16" s="250"/>
      <c r="T16" s="250"/>
      <c r="U16" s="250"/>
      <c r="V16" s="250"/>
      <c r="W16" s="250"/>
      <c r="X16" s="250"/>
      <c r="Y16" s="250"/>
      <c r="Z16" s="250"/>
      <c r="AA16" s="250"/>
    </row>
    <row r="17" spans="1:27" ht="20.25" customHeight="1">
      <c r="A17" s="246" t="s">
        <v>193</v>
      </c>
      <c r="B17" s="134">
        <v>8219</v>
      </c>
      <c r="P17" s="250"/>
      <c r="Q17" s="250"/>
      <c r="R17" s="250"/>
      <c r="S17" s="250"/>
      <c r="T17" s="250"/>
      <c r="U17" s="250"/>
      <c r="V17" s="250"/>
      <c r="W17" s="250"/>
      <c r="X17" s="250"/>
      <c r="Y17" s="250"/>
      <c r="Z17" s="250"/>
      <c r="AA17" s="250"/>
    </row>
    <row r="18" spans="1:27" ht="20.25" customHeight="1">
      <c r="A18" s="246" t="s">
        <v>102</v>
      </c>
      <c r="B18" s="134">
        <v>641</v>
      </c>
      <c r="P18" s="250"/>
      <c r="Q18" s="250"/>
      <c r="R18" s="250"/>
      <c r="S18" s="250"/>
      <c r="T18" s="250"/>
      <c r="U18" s="250"/>
      <c r="V18" s="250"/>
      <c r="W18" s="250"/>
      <c r="X18" s="250"/>
      <c r="Y18" s="250"/>
      <c r="Z18" s="250"/>
      <c r="AA18" s="250"/>
    </row>
    <row r="19" spans="1:27" ht="20.25" customHeight="1">
      <c r="A19" s="246" t="s">
        <v>103</v>
      </c>
      <c r="B19" s="134">
        <v>760</v>
      </c>
      <c r="P19" s="250"/>
      <c r="Q19" s="250"/>
      <c r="R19" s="250"/>
      <c r="S19" s="250"/>
      <c r="T19" s="250"/>
      <c r="U19" s="250"/>
      <c r="V19" s="250"/>
      <c r="W19" s="250"/>
      <c r="X19" s="250"/>
      <c r="Y19" s="250"/>
      <c r="Z19" s="250"/>
      <c r="AA19" s="250"/>
    </row>
    <row r="20" spans="1:27" ht="20.25" customHeight="1">
      <c r="A20" s="246" t="s">
        <v>104</v>
      </c>
      <c r="B20" s="134"/>
      <c r="P20" s="250"/>
      <c r="Q20" s="250"/>
      <c r="R20" s="250"/>
      <c r="S20" s="250"/>
      <c r="T20" s="250"/>
      <c r="U20" s="250"/>
      <c r="V20" s="250"/>
      <c r="W20" s="250"/>
      <c r="X20" s="250"/>
      <c r="Y20" s="250"/>
      <c r="Z20" s="250"/>
      <c r="AA20" s="250"/>
    </row>
    <row r="21" spans="1:27" ht="20.25" customHeight="1">
      <c r="A21" s="246" t="s">
        <v>105</v>
      </c>
      <c r="B21" s="134">
        <f>7862+5000</f>
        <v>12862</v>
      </c>
      <c r="P21" s="250"/>
      <c r="Q21" s="250"/>
      <c r="R21" s="250"/>
      <c r="S21" s="250"/>
      <c r="T21" s="250"/>
      <c r="U21" s="250"/>
      <c r="V21" s="250"/>
      <c r="W21" s="250"/>
      <c r="X21" s="250"/>
      <c r="Y21" s="250"/>
      <c r="Z21" s="250"/>
      <c r="AA21" s="250"/>
    </row>
    <row r="22" spans="1:27" ht="20.25" customHeight="1">
      <c r="A22" s="246" t="s">
        <v>106</v>
      </c>
      <c r="B22" s="134">
        <v>10515</v>
      </c>
      <c r="P22" s="250"/>
      <c r="Q22" s="250"/>
      <c r="R22" s="250"/>
      <c r="S22" s="250"/>
      <c r="T22" s="250"/>
      <c r="U22" s="250"/>
      <c r="V22" s="250"/>
      <c r="W22" s="250"/>
      <c r="X22" s="250"/>
      <c r="Y22" s="250"/>
      <c r="Z22" s="250"/>
      <c r="AA22" s="250"/>
    </row>
    <row r="23" spans="1:27" ht="20.25" customHeight="1">
      <c r="A23" s="246" t="s">
        <v>107</v>
      </c>
      <c r="B23" s="134">
        <v>3142</v>
      </c>
      <c r="P23" s="250"/>
      <c r="Q23" s="250"/>
      <c r="R23" s="250"/>
      <c r="S23" s="250"/>
      <c r="T23" s="250"/>
      <c r="U23" s="250"/>
      <c r="V23" s="250"/>
      <c r="W23" s="250"/>
      <c r="X23" s="250"/>
      <c r="Y23" s="250"/>
      <c r="Z23" s="250"/>
      <c r="AA23" s="250"/>
    </row>
    <row r="24" spans="1:27" ht="20.25" customHeight="1">
      <c r="A24" s="246" t="s">
        <v>108</v>
      </c>
      <c r="B24" s="134">
        <v>5848</v>
      </c>
      <c r="P24" s="250"/>
      <c r="Q24" s="250"/>
      <c r="R24" s="250"/>
      <c r="S24" s="250"/>
      <c r="T24" s="250"/>
      <c r="U24" s="250"/>
      <c r="V24" s="250"/>
      <c r="W24" s="250"/>
      <c r="X24" s="250"/>
      <c r="Y24" s="250"/>
      <c r="Z24" s="250"/>
      <c r="AA24" s="250"/>
    </row>
    <row r="25" spans="1:27" ht="20.25" customHeight="1">
      <c r="A25" s="246" t="s">
        <v>194</v>
      </c>
      <c r="B25" s="134">
        <v>10000</v>
      </c>
      <c r="P25" s="250"/>
      <c r="Q25" s="250"/>
      <c r="R25" s="250"/>
      <c r="S25" s="250"/>
      <c r="T25" s="250"/>
      <c r="U25" s="250"/>
      <c r="V25" s="250"/>
      <c r="W25" s="250"/>
      <c r="X25" s="250"/>
      <c r="Y25" s="250"/>
      <c r="Z25" s="250"/>
      <c r="AA25" s="250"/>
    </row>
    <row r="26" spans="1:27" ht="20.25" customHeight="1">
      <c r="A26" s="246" t="s">
        <v>195</v>
      </c>
      <c r="B26" s="134">
        <v>14927</v>
      </c>
      <c r="P26" s="250"/>
      <c r="Q26" s="250"/>
      <c r="R26" s="250"/>
      <c r="S26" s="250"/>
      <c r="T26" s="250"/>
      <c r="U26" s="250"/>
      <c r="V26" s="250"/>
      <c r="W26" s="250"/>
      <c r="X26" s="250"/>
      <c r="Y26" s="250"/>
      <c r="Z26" s="250"/>
      <c r="AA26" s="250"/>
    </row>
    <row r="27" spans="1:27" ht="20.25" customHeight="1">
      <c r="A27" s="246" t="s">
        <v>196</v>
      </c>
      <c r="B27" s="134">
        <v>20900</v>
      </c>
      <c r="P27" s="250"/>
      <c r="Q27" s="250"/>
      <c r="R27" s="250"/>
      <c r="S27" s="250"/>
      <c r="T27" s="250"/>
      <c r="U27" s="250"/>
      <c r="V27" s="250"/>
      <c r="W27" s="250"/>
      <c r="X27" s="250"/>
      <c r="Y27" s="250"/>
      <c r="Z27" s="250"/>
      <c r="AA27" s="250"/>
    </row>
    <row r="28" spans="1:27" ht="19.5" hidden="1" customHeight="1">
      <c r="A28" s="246" t="s">
        <v>197</v>
      </c>
      <c r="B28" s="134"/>
      <c r="P28" s="250"/>
      <c r="Q28" s="250"/>
      <c r="R28" s="250"/>
      <c r="S28" s="250"/>
      <c r="T28" s="250"/>
      <c r="U28" s="250"/>
      <c r="V28" s="250"/>
      <c r="W28" s="250"/>
      <c r="X28" s="250"/>
      <c r="Y28" s="250"/>
      <c r="Z28" s="250"/>
      <c r="AA28" s="250"/>
    </row>
    <row r="29" spans="1:27" ht="20.25" customHeight="1">
      <c r="A29" s="247" t="s">
        <v>113</v>
      </c>
      <c r="B29" s="208">
        <f>SUM(B5:B28)</f>
        <v>415782</v>
      </c>
      <c r="P29" s="250"/>
      <c r="Q29" s="250"/>
      <c r="R29" s="250"/>
      <c r="S29" s="250"/>
      <c r="T29" s="250"/>
      <c r="U29" s="250"/>
      <c r="V29" s="250"/>
      <c r="W29" s="250"/>
      <c r="X29" s="250"/>
      <c r="Y29" s="250"/>
      <c r="Z29" s="250"/>
      <c r="AA29" s="250"/>
    </row>
    <row r="30" spans="1:27" ht="20.25" customHeight="1">
      <c r="A30" s="248" t="s">
        <v>216</v>
      </c>
      <c r="B30" s="208">
        <f>SUM(B31:B34)</f>
        <v>559255</v>
      </c>
      <c r="P30" s="250"/>
      <c r="Q30" s="250"/>
      <c r="R30" s="250"/>
      <c r="S30" s="250"/>
      <c r="T30" s="250"/>
      <c r="U30" s="250"/>
      <c r="V30" s="250"/>
      <c r="W30" s="250"/>
      <c r="X30" s="250"/>
      <c r="Y30" s="250"/>
      <c r="Z30" s="250"/>
      <c r="AA30" s="250"/>
    </row>
    <row r="31" spans="1:27" ht="20.25" customHeight="1">
      <c r="A31" s="246" t="s">
        <v>217</v>
      </c>
      <c r="B31" s="134">
        <v>6596</v>
      </c>
      <c r="P31" s="250"/>
      <c r="Q31" s="250"/>
      <c r="R31" s="250"/>
      <c r="S31" s="250"/>
      <c r="T31" s="250"/>
      <c r="U31" s="250"/>
      <c r="V31" s="250"/>
      <c r="W31" s="250"/>
      <c r="X31" s="250"/>
      <c r="Y31" s="250"/>
      <c r="Z31" s="250"/>
      <c r="AA31" s="250"/>
    </row>
    <row r="32" spans="1:27" ht="20.25" customHeight="1">
      <c r="A32" s="246" t="s">
        <v>218</v>
      </c>
      <c r="B32" s="134">
        <v>277794</v>
      </c>
      <c r="P32" s="250"/>
      <c r="Q32" s="250"/>
      <c r="R32" s="250"/>
      <c r="S32" s="250"/>
      <c r="T32" s="250"/>
      <c r="U32" s="250"/>
      <c r="V32" s="250"/>
      <c r="W32" s="250"/>
      <c r="X32" s="250"/>
      <c r="Y32" s="250"/>
      <c r="Z32" s="250"/>
      <c r="AA32" s="250"/>
    </row>
    <row r="33" spans="1:27" ht="20.25" customHeight="1">
      <c r="A33" s="246" t="s">
        <v>219</v>
      </c>
      <c r="B33" s="185">
        <v>274888</v>
      </c>
      <c r="P33" s="250"/>
      <c r="Q33" s="250"/>
      <c r="R33" s="250"/>
      <c r="S33" s="250"/>
      <c r="T33" s="250"/>
      <c r="U33" s="250"/>
      <c r="V33" s="250"/>
      <c r="W33" s="250"/>
      <c r="X33" s="250"/>
      <c r="Y33" s="250"/>
      <c r="Z33" s="250"/>
      <c r="AA33" s="250"/>
    </row>
    <row r="34" spans="1:27" ht="20.25" customHeight="1">
      <c r="A34" s="246" t="s">
        <v>220</v>
      </c>
      <c r="B34" s="134">
        <v>-23</v>
      </c>
      <c r="P34" s="250"/>
      <c r="Q34" s="250"/>
      <c r="R34" s="250"/>
      <c r="S34" s="250"/>
      <c r="T34" s="250"/>
      <c r="U34" s="250"/>
      <c r="V34" s="250"/>
      <c r="W34" s="250"/>
      <c r="X34" s="250"/>
      <c r="Y34" s="250"/>
      <c r="Z34" s="250"/>
      <c r="AA34" s="250"/>
    </row>
    <row r="35" spans="1:27" ht="20.25" customHeight="1">
      <c r="A35" s="247" t="s">
        <v>201</v>
      </c>
      <c r="B35" s="208">
        <f>B29+B30</f>
        <v>975037</v>
      </c>
      <c r="P35" s="250"/>
      <c r="Q35" s="250"/>
      <c r="R35" s="250"/>
      <c r="S35" s="250"/>
      <c r="T35" s="250"/>
      <c r="U35" s="250"/>
      <c r="V35" s="250"/>
      <c r="W35" s="250"/>
      <c r="X35" s="250"/>
      <c r="Y35" s="250"/>
      <c r="Z35" s="250"/>
      <c r="AA35" s="250"/>
    </row>
    <row r="36" spans="1:27">
      <c r="B36" s="249"/>
    </row>
  </sheetData>
  <mergeCells count="3">
    <mergeCell ref="A1:B1"/>
    <mergeCell ref="A3:A4"/>
    <mergeCell ref="B3:B4"/>
  </mergeCells>
  <phoneticPr fontId="54" type="noConversion"/>
  <printOptions horizontalCentered="1"/>
  <pageMargins left="0.78680555555555598" right="0.78680555555555598" top="0.78680555555555598" bottom="0.98402777777777795" header="0.51180555555555596" footer="0.31388888888888899"/>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516"/>
  <sheetViews>
    <sheetView showZeros="0" workbookViewId="0">
      <pane xSplit="1" ySplit="3" topLeftCell="B255" activePane="bottomRight" state="frozen"/>
      <selection pane="topRight"/>
      <selection pane="bottomLeft"/>
      <selection pane="bottomRight" activeCell="F280" sqref="F280"/>
    </sheetView>
  </sheetViews>
  <sheetFormatPr defaultColWidth="9" defaultRowHeight="14.25"/>
  <cols>
    <col min="1" max="1" width="54.25" style="231" customWidth="1"/>
    <col min="2" max="2" width="18.75" style="83" customWidth="1"/>
    <col min="3" max="4" width="9" style="83" hidden="1" customWidth="1"/>
    <col min="5" max="5" width="9" style="83" customWidth="1"/>
    <col min="6" max="16384" width="9" style="83"/>
  </cols>
  <sheetData>
    <row r="1" spans="1:4" s="80" customFormat="1" ht="30" customHeight="1">
      <c r="A1" s="349" t="s">
        <v>221</v>
      </c>
      <c r="B1" s="349"/>
    </row>
    <row r="2" spans="1:4" s="50" customFormat="1" ht="20.100000000000001" customHeight="1">
      <c r="A2" s="161" t="s">
        <v>222</v>
      </c>
      <c r="B2" s="7" t="s">
        <v>86</v>
      </c>
    </row>
    <row r="3" spans="1:4" ht="21" customHeight="1">
      <c r="A3" s="232" t="s">
        <v>54</v>
      </c>
      <c r="B3" s="58" t="s">
        <v>223</v>
      </c>
      <c r="C3" s="233" t="s">
        <v>224</v>
      </c>
      <c r="D3" s="233" t="s">
        <v>225</v>
      </c>
    </row>
    <row r="4" spans="1:4" ht="20.100000000000001" customHeight="1">
      <c r="A4" s="234" t="s">
        <v>226</v>
      </c>
      <c r="B4" s="109">
        <f>B5+B17+B26+B37+B48+B59+B70+B78+B87+B100+B109+B120+B132+B139+B147+B153+B160+B167+B174+B181+B188+B196+B202+B208+B215+B230</f>
        <v>54509</v>
      </c>
      <c r="C4" s="235">
        <f>C5+C17+C26+C37+C48+C59+C70+C78+C87+C100+C109+C120+C132+C139+C147+C153+C160+C167+C174+C181+C188+C196+C202+C208+C215+C230</f>
        <v>54098</v>
      </c>
      <c r="D4" s="235">
        <f>D5+D17+D26+D37+D48+D59+D70+D78+D87+D100+D109+D120+D132+D139+D147+D153+D160+D167+D174+D181+D188+D196+D202+D208+D215+D230</f>
        <v>411</v>
      </c>
    </row>
    <row r="5" spans="1:4" ht="20.100000000000001" customHeight="1">
      <c r="A5" s="236" t="s">
        <v>227</v>
      </c>
      <c r="B5" s="109">
        <f>SUM(B6:B16)</f>
        <v>1656</v>
      </c>
      <c r="C5" s="235">
        <f>SUM(C6:C16)</f>
        <v>1656</v>
      </c>
      <c r="D5" s="235">
        <f>SUM(D6:D16)</f>
        <v>0</v>
      </c>
    </row>
    <row r="6" spans="1:4" ht="20.100000000000001" customHeight="1">
      <c r="A6" s="236" t="s">
        <v>228</v>
      </c>
      <c r="B6" s="109">
        <v>950</v>
      </c>
      <c r="C6" s="235">
        <v>950</v>
      </c>
      <c r="D6" s="235"/>
    </row>
    <row r="7" spans="1:4" ht="20.100000000000001" hidden="1" customHeight="1">
      <c r="A7" s="236" t="s">
        <v>229</v>
      </c>
      <c r="B7" s="109"/>
      <c r="C7" s="235"/>
      <c r="D7" s="235"/>
    </row>
    <row r="8" spans="1:4" ht="20.100000000000001" hidden="1" customHeight="1">
      <c r="A8" s="236" t="s">
        <v>230</v>
      </c>
      <c r="B8" s="109"/>
      <c r="C8" s="235"/>
      <c r="D8" s="235"/>
    </row>
    <row r="9" spans="1:4" ht="20.100000000000001" customHeight="1">
      <c r="A9" s="236" t="s">
        <v>231</v>
      </c>
      <c r="B9" s="109">
        <v>130</v>
      </c>
      <c r="C9" s="235">
        <v>130</v>
      </c>
      <c r="D9" s="235"/>
    </row>
    <row r="10" spans="1:4" ht="20.100000000000001" customHeight="1">
      <c r="A10" s="236" t="s">
        <v>232</v>
      </c>
      <c r="B10" s="109">
        <v>10</v>
      </c>
      <c r="C10" s="235">
        <v>10</v>
      </c>
      <c r="D10" s="235"/>
    </row>
    <row r="11" spans="1:4" ht="20.100000000000001" hidden="1" customHeight="1">
      <c r="A11" s="236" t="s">
        <v>233</v>
      </c>
      <c r="B11" s="109"/>
      <c r="C11" s="235"/>
      <c r="D11" s="235"/>
    </row>
    <row r="12" spans="1:4" ht="20.100000000000001" hidden="1" customHeight="1">
      <c r="A12" s="236" t="s">
        <v>234</v>
      </c>
      <c r="B12" s="109"/>
      <c r="C12" s="235"/>
      <c r="D12" s="235"/>
    </row>
    <row r="13" spans="1:4" ht="20.100000000000001" customHeight="1">
      <c r="A13" s="236" t="s">
        <v>235</v>
      </c>
      <c r="B13" s="109">
        <v>105</v>
      </c>
      <c r="C13" s="235">
        <v>105</v>
      </c>
      <c r="D13" s="235"/>
    </row>
    <row r="14" spans="1:4" ht="20.100000000000001" hidden="1" customHeight="1">
      <c r="A14" s="236" t="s">
        <v>236</v>
      </c>
      <c r="B14" s="109"/>
      <c r="C14" s="235"/>
      <c r="D14" s="235"/>
    </row>
    <row r="15" spans="1:4" ht="20.100000000000001" customHeight="1">
      <c r="A15" s="236" t="s">
        <v>237</v>
      </c>
      <c r="B15" s="109">
        <v>188</v>
      </c>
      <c r="C15" s="235">
        <v>188</v>
      </c>
      <c r="D15" s="235"/>
    </row>
    <row r="16" spans="1:4" ht="20.100000000000001" customHeight="1">
      <c r="A16" s="236" t="s">
        <v>238</v>
      </c>
      <c r="B16" s="109">
        <v>273</v>
      </c>
      <c r="C16" s="235">
        <v>273</v>
      </c>
      <c r="D16" s="235"/>
    </row>
    <row r="17" spans="1:4" ht="20.100000000000001" customHeight="1">
      <c r="A17" s="236" t="s">
        <v>239</v>
      </c>
      <c r="B17" s="109">
        <f>SUM(B18:B25)</f>
        <v>1023</v>
      </c>
      <c r="C17" s="235">
        <f>SUM(C18:C25)</f>
        <v>1023</v>
      </c>
      <c r="D17" s="235">
        <f>SUM(D18:D25)</f>
        <v>0</v>
      </c>
    </row>
    <row r="18" spans="1:4" ht="20.100000000000001" customHeight="1">
      <c r="A18" s="236" t="s">
        <v>228</v>
      </c>
      <c r="B18" s="109">
        <v>669</v>
      </c>
      <c r="C18" s="235">
        <v>669</v>
      </c>
      <c r="D18" s="235"/>
    </row>
    <row r="19" spans="1:4" ht="20.100000000000001" customHeight="1">
      <c r="A19" s="236" t="s">
        <v>229</v>
      </c>
      <c r="B19" s="109">
        <v>105</v>
      </c>
      <c r="C19" s="235">
        <v>105</v>
      </c>
      <c r="D19" s="235"/>
    </row>
    <row r="20" spans="1:4" ht="20.100000000000001" hidden="1" customHeight="1">
      <c r="A20" s="236" t="s">
        <v>230</v>
      </c>
      <c r="B20" s="109"/>
      <c r="C20" s="235"/>
      <c r="D20" s="235"/>
    </row>
    <row r="21" spans="1:4" ht="20.100000000000001" customHeight="1">
      <c r="A21" s="236" t="s">
        <v>240</v>
      </c>
      <c r="B21" s="109">
        <v>97</v>
      </c>
      <c r="C21" s="235">
        <v>97</v>
      </c>
      <c r="D21" s="235"/>
    </row>
    <row r="22" spans="1:4" ht="20.100000000000001" customHeight="1">
      <c r="A22" s="236" t="s">
        <v>241</v>
      </c>
      <c r="B22" s="109">
        <v>5</v>
      </c>
      <c r="C22" s="235">
        <v>5</v>
      </c>
      <c r="D22" s="235"/>
    </row>
    <row r="23" spans="1:4" ht="20.100000000000001" customHeight="1">
      <c r="A23" s="236" t="s">
        <v>242</v>
      </c>
      <c r="B23" s="109">
        <v>62</v>
      </c>
      <c r="C23" s="235">
        <v>62</v>
      </c>
      <c r="D23" s="235"/>
    </row>
    <row r="24" spans="1:4" ht="20.100000000000001" hidden="1" customHeight="1">
      <c r="A24" s="236" t="s">
        <v>237</v>
      </c>
      <c r="B24" s="109"/>
      <c r="C24" s="235"/>
      <c r="D24" s="235"/>
    </row>
    <row r="25" spans="1:4" ht="20.100000000000001" customHeight="1">
      <c r="A25" s="236" t="s">
        <v>243</v>
      </c>
      <c r="B25" s="109">
        <v>85</v>
      </c>
      <c r="C25" s="235">
        <v>85</v>
      </c>
      <c r="D25" s="235"/>
    </row>
    <row r="26" spans="1:4" ht="20.100000000000001" customHeight="1">
      <c r="A26" s="236" t="s">
        <v>244</v>
      </c>
      <c r="B26" s="109">
        <f>SUM(B27:B36)</f>
        <v>10816</v>
      </c>
      <c r="C26" s="235">
        <f>SUM(C27:C36)</f>
        <v>10816</v>
      </c>
      <c r="D26" s="235">
        <f>SUM(D27:D36)</f>
        <v>0</v>
      </c>
    </row>
    <row r="27" spans="1:4" ht="20.100000000000001" customHeight="1">
      <c r="A27" s="236" t="s">
        <v>228</v>
      </c>
      <c r="B27" s="109">
        <v>2225</v>
      </c>
      <c r="C27" s="235">
        <v>2225</v>
      </c>
      <c r="D27" s="235"/>
    </row>
    <row r="28" spans="1:4" ht="20.100000000000001" hidden="1" customHeight="1">
      <c r="A28" s="236" t="s">
        <v>229</v>
      </c>
      <c r="B28" s="109"/>
      <c r="C28" s="235"/>
      <c r="D28" s="235"/>
    </row>
    <row r="29" spans="1:4" ht="20.100000000000001" customHeight="1">
      <c r="A29" s="236" t="s">
        <v>230</v>
      </c>
      <c r="B29" s="109">
        <v>1018</v>
      </c>
      <c r="C29" s="235">
        <v>1018</v>
      </c>
      <c r="D29" s="235"/>
    </row>
    <row r="30" spans="1:4" ht="20.100000000000001" hidden="1" customHeight="1">
      <c r="A30" s="236" t="s">
        <v>245</v>
      </c>
      <c r="B30" s="109"/>
      <c r="C30" s="235"/>
      <c r="D30" s="235"/>
    </row>
    <row r="31" spans="1:4" ht="20.100000000000001" customHeight="1">
      <c r="A31" s="236" t="s">
        <v>246</v>
      </c>
      <c r="B31" s="109">
        <v>131</v>
      </c>
      <c r="C31" s="235">
        <v>131</v>
      </c>
      <c r="D31" s="235"/>
    </row>
    <row r="32" spans="1:4" ht="20.100000000000001" customHeight="1">
      <c r="A32" s="236" t="s">
        <v>247</v>
      </c>
      <c r="B32" s="109">
        <v>740</v>
      </c>
      <c r="C32" s="235">
        <v>740</v>
      </c>
      <c r="D32" s="235"/>
    </row>
    <row r="33" spans="1:4" ht="20.100000000000001" customHeight="1">
      <c r="A33" s="236" t="s">
        <v>248</v>
      </c>
      <c r="B33" s="109">
        <v>243</v>
      </c>
      <c r="C33" s="235">
        <v>243</v>
      </c>
      <c r="D33" s="235"/>
    </row>
    <row r="34" spans="1:4" ht="20.100000000000001" hidden="1" customHeight="1">
      <c r="A34" s="236" t="s">
        <v>249</v>
      </c>
      <c r="B34" s="109"/>
      <c r="C34" s="235"/>
      <c r="D34" s="235"/>
    </row>
    <row r="35" spans="1:4" ht="20.100000000000001" customHeight="1">
      <c r="A35" s="236" t="s">
        <v>237</v>
      </c>
      <c r="B35" s="109">
        <v>1141</v>
      </c>
      <c r="C35" s="235">
        <v>1141</v>
      </c>
      <c r="D35" s="235"/>
    </row>
    <row r="36" spans="1:4" ht="20.100000000000001" customHeight="1">
      <c r="A36" s="236" t="s">
        <v>250</v>
      </c>
      <c r="B36" s="109">
        <v>5318</v>
      </c>
      <c r="C36" s="235">
        <v>5318</v>
      </c>
      <c r="D36" s="235"/>
    </row>
    <row r="37" spans="1:4" ht="20.100000000000001" customHeight="1">
      <c r="A37" s="236" t="s">
        <v>251</v>
      </c>
      <c r="B37" s="109">
        <f>SUM(B38:B47)</f>
        <v>2904</v>
      </c>
      <c r="C37" s="235">
        <f>SUM(C38:C47)</f>
        <v>2904</v>
      </c>
      <c r="D37" s="235">
        <f>SUM(D38:D47)</f>
        <v>0</v>
      </c>
    </row>
    <row r="38" spans="1:4" ht="20.100000000000001" customHeight="1">
      <c r="A38" s="236" t="s">
        <v>228</v>
      </c>
      <c r="B38" s="109">
        <v>423</v>
      </c>
      <c r="C38" s="235">
        <v>423</v>
      </c>
      <c r="D38" s="235"/>
    </row>
    <row r="39" spans="1:4" ht="20.100000000000001" hidden="1" customHeight="1">
      <c r="A39" s="236" t="s">
        <v>229</v>
      </c>
      <c r="B39" s="109"/>
      <c r="C39" s="235"/>
      <c r="D39" s="235"/>
    </row>
    <row r="40" spans="1:4" ht="20.100000000000001" hidden="1" customHeight="1">
      <c r="A40" s="236" t="s">
        <v>230</v>
      </c>
      <c r="B40" s="109"/>
      <c r="C40" s="235"/>
      <c r="D40" s="235"/>
    </row>
    <row r="41" spans="1:4" ht="20.100000000000001" hidden="1" customHeight="1">
      <c r="A41" s="236" t="s">
        <v>252</v>
      </c>
      <c r="B41" s="109"/>
      <c r="C41" s="235"/>
      <c r="D41" s="235"/>
    </row>
    <row r="42" spans="1:4" ht="20.100000000000001" hidden="1" customHeight="1">
      <c r="A42" s="236" t="s">
        <v>253</v>
      </c>
      <c r="B42" s="109"/>
      <c r="C42" s="235"/>
      <c r="D42" s="235"/>
    </row>
    <row r="43" spans="1:4" ht="20.100000000000001" hidden="1" customHeight="1">
      <c r="A43" s="236" t="s">
        <v>254</v>
      </c>
      <c r="B43" s="109"/>
      <c r="C43" s="235"/>
      <c r="D43" s="235"/>
    </row>
    <row r="44" spans="1:4" ht="20.100000000000001" hidden="1" customHeight="1">
      <c r="A44" s="236" t="s">
        <v>255</v>
      </c>
      <c r="B44" s="109"/>
      <c r="C44" s="235"/>
      <c r="D44" s="235"/>
    </row>
    <row r="45" spans="1:4" ht="20.100000000000001" hidden="1" customHeight="1">
      <c r="A45" s="236" t="s">
        <v>256</v>
      </c>
      <c r="B45" s="109"/>
      <c r="C45" s="235"/>
      <c r="D45" s="235"/>
    </row>
    <row r="46" spans="1:4" ht="20.100000000000001" customHeight="1">
      <c r="A46" s="236" t="s">
        <v>237</v>
      </c>
      <c r="B46" s="109">
        <v>597</v>
      </c>
      <c r="C46" s="235">
        <v>597</v>
      </c>
      <c r="D46" s="235"/>
    </row>
    <row r="47" spans="1:4" ht="20.100000000000001" customHeight="1">
      <c r="A47" s="236" t="s">
        <v>257</v>
      </c>
      <c r="B47" s="109">
        <v>1884</v>
      </c>
      <c r="C47" s="235">
        <v>1884</v>
      </c>
      <c r="D47" s="235"/>
    </row>
    <row r="48" spans="1:4" ht="20.100000000000001" customHeight="1">
      <c r="A48" s="236" t="s">
        <v>258</v>
      </c>
      <c r="B48" s="109">
        <f>SUM(B49:B58)</f>
        <v>622</v>
      </c>
      <c r="C48" s="235">
        <f>SUM(C49:C58)</f>
        <v>622</v>
      </c>
      <c r="D48" s="235">
        <f>SUM(D49:D58)</f>
        <v>0</v>
      </c>
    </row>
    <row r="49" spans="1:4" ht="20.100000000000001" customHeight="1">
      <c r="A49" s="236" t="s">
        <v>228</v>
      </c>
      <c r="B49" s="109">
        <v>265</v>
      </c>
      <c r="C49" s="235">
        <v>265</v>
      </c>
      <c r="D49" s="235"/>
    </row>
    <row r="50" spans="1:4" ht="20.100000000000001" hidden="1" customHeight="1">
      <c r="A50" s="236" t="s">
        <v>229</v>
      </c>
      <c r="B50" s="109"/>
      <c r="C50" s="235"/>
      <c r="D50" s="235"/>
    </row>
    <row r="51" spans="1:4" ht="20.100000000000001" hidden="1" customHeight="1">
      <c r="A51" s="236" t="s">
        <v>230</v>
      </c>
      <c r="B51" s="109"/>
      <c r="C51" s="235"/>
      <c r="D51" s="235"/>
    </row>
    <row r="52" spans="1:4" ht="20.100000000000001" hidden="1" customHeight="1">
      <c r="A52" s="236" t="s">
        <v>259</v>
      </c>
      <c r="B52" s="109"/>
      <c r="C52" s="235"/>
      <c r="D52" s="235"/>
    </row>
    <row r="53" spans="1:4" ht="20.100000000000001" hidden="1" customHeight="1">
      <c r="A53" s="236" t="s">
        <v>260</v>
      </c>
      <c r="B53" s="109"/>
      <c r="C53" s="235"/>
      <c r="D53" s="235"/>
    </row>
    <row r="54" spans="1:4" ht="20.100000000000001" hidden="1" customHeight="1">
      <c r="A54" s="236" t="s">
        <v>261</v>
      </c>
      <c r="B54" s="109"/>
      <c r="C54" s="235"/>
      <c r="D54" s="235"/>
    </row>
    <row r="55" spans="1:4" ht="20.100000000000001" hidden="1" customHeight="1">
      <c r="A55" s="236" t="s">
        <v>262</v>
      </c>
      <c r="B55" s="109"/>
      <c r="C55" s="235"/>
      <c r="D55" s="235"/>
    </row>
    <row r="56" spans="1:4" ht="20.100000000000001" hidden="1" customHeight="1">
      <c r="A56" s="236" t="s">
        <v>263</v>
      </c>
      <c r="B56" s="109"/>
      <c r="C56" s="235"/>
      <c r="D56" s="235"/>
    </row>
    <row r="57" spans="1:4" ht="20.100000000000001" customHeight="1">
      <c r="A57" s="236" t="s">
        <v>237</v>
      </c>
      <c r="B57" s="109">
        <v>194</v>
      </c>
      <c r="C57" s="235">
        <v>194</v>
      </c>
      <c r="D57" s="235"/>
    </row>
    <row r="58" spans="1:4" ht="20.100000000000001" customHeight="1">
      <c r="A58" s="236" t="s">
        <v>264</v>
      </c>
      <c r="B58" s="109">
        <v>163</v>
      </c>
      <c r="C58" s="235">
        <v>163</v>
      </c>
      <c r="D58" s="235"/>
    </row>
    <row r="59" spans="1:4" ht="20.100000000000001" customHeight="1">
      <c r="A59" s="236" t="s">
        <v>265</v>
      </c>
      <c r="B59" s="109">
        <f>SUM(B60:B69)</f>
        <v>4874</v>
      </c>
      <c r="C59" s="235">
        <f>SUM(C60:C69)</f>
        <v>4874</v>
      </c>
      <c r="D59" s="235">
        <f>SUM(D60:D69)</f>
        <v>0</v>
      </c>
    </row>
    <row r="60" spans="1:4" ht="20.100000000000001" customHeight="1">
      <c r="A60" s="236" t="s">
        <v>228</v>
      </c>
      <c r="B60" s="109">
        <v>1799</v>
      </c>
      <c r="C60" s="235">
        <v>1799</v>
      </c>
      <c r="D60" s="235"/>
    </row>
    <row r="61" spans="1:4" ht="20.100000000000001" hidden="1" customHeight="1">
      <c r="A61" s="236" t="s">
        <v>229</v>
      </c>
      <c r="B61" s="109"/>
      <c r="C61" s="235"/>
      <c r="D61" s="235"/>
    </row>
    <row r="62" spans="1:4" ht="20.100000000000001" hidden="1" customHeight="1">
      <c r="A62" s="236" t="s">
        <v>230</v>
      </c>
      <c r="B62" s="109"/>
      <c r="C62" s="235"/>
      <c r="D62" s="235"/>
    </row>
    <row r="63" spans="1:4" ht="20.100000000000001" hidden="1" customHeight="1">
      <c r="A63" s="236" t="s">
        <v>266</v>
      </c>
      <c r="B63" s="109"/>
      <c r="C63" s="235"/>
      <c r="D63" s="235"/>
    </row>
    <row r="64" spans="1:4" ht="20.100000000000001" hidden="1" customHeight="1">
      <c r="A64" s="236" t="s">
        <v>267</v>
      </c>
      <c r="B64" s="109"/>
      <c r="C64" s="235"/>
      <c r="D64" s="235"/>
    </row>
    <row r="65" spans="1:4" ht="20.100000000000001" hidden="1" customHeight="1">
      <c r="A65" s="236" t="s">
        <v>268</v>
      </c>
      <c r="B65" s="109"/>
      <c r="C65" s="235"/>
      <c r="D65" s="235"/>
    </row>
    <row r="66" spans="1:4" ht="20.100000000000001" customHeight="1">
      <c r="A66" s="236" t="s">
        <v>269</v>
      </c>
      <c r="B66" s="109">
        <v>330</v>
      </c>
      <c r="C66" s="235">
        <v>330</v>
      </c>
      <c r="D66" s="235"/>
    </row>
    <row r="67" spans="1:4" ht="20.100000000000001" hidden="1" customHeight="1">
      <c r="A67" s="236" t="s">
        <v>270</v>
      </c>
      <c r="B67" s="109"/>
      <c r="C67" s="235"/>
      <c r="D67" s="235"/>
    </row>
    <row r="68" spans="1:4" ht="20.100000000000001" customHeight="1">
      <c r="A68" s="236" t="s">
        <v>237</v>
      </c>
      <c r="B68" s="109">
        <v>278</v>
      </c>
      <c r="C68" s="235">
        <v>278</v>
      </c>
      <c r="D68" s="235"/>
    </row>
    <row r="69" spans="1:4" ht="20.100000000000001" customHeight="1">
      <c r="A69" s="236" t="s">
        <v>271</v>
      </c>
      <c r="B69" s="109">
        <v>2467</v>
      </c>
      <c r="C69" s="235">
        <v>2467</v>
      </c>
      <c r="D69" s="235"/>
    </row>
    <row r="70" spans="1:4" ht="20.100000000000001" customHeight="1">
      <c r="A70" s="236" t="s">
        <v>272</v>
      </c>
      <c r="B70" s="109">
        <f>SUM(B71:B77)</f>
        <v>3000</v>
      </c>
      <c r="C70" s="235">
        <f>SUM(C71:C77)</f>
        <v>3000</v>
      </c>
      <c r="D70" s="235">
        <f>SUM(D71:D77)</f>
        <v>0</v>
      </c>
    </row>
    <row r="71" spans="1:4" ht="20.100000000000001" customHeight="1">
      <c r="A71" s="236" t="s">
        <v>228</v>
      </c>
      <c r="B71" s="109">
        <v>3000</v>
      </c>
      <c r="C71" s="235">
        <v>3000</v>
      </c>
      <c r="D71" s="235"/>
    </row>
    <row r="72" spans="1:4" ht="20.100000000000001" hidden="1" customHeight="1">
      <c r="A72" s="236" t="s">
        <v>229</v>
      </c>
      <c r="B72" s="109"/>
      <c r="C72" s="235"/>
      <c r="D72" s="235"/>
    </row>
    <row r="73" spans="1:4" ht="20.100000000000001" hidden="1" customHeight="1">
      <c r="A73" s="236" t="s">
        <v>230</v>
      </c>
      <c r="B73" s="109"/>
      <c r="C73" s="235"/>
      <c r="D73" s="235"/>
    </row>
    <row r="74" spans="1:4" ht="20.100000000000001" hidden="1" customHeight="1">
      <c r="A74" s="236" t="s">
        <v>269</v>
      </c>
      <c r="B74" s="109"/>
      <c r="C74" s="235"/>
      <c r="D74" s="235"/>
    </row>
    <row r="75" spans="1:4" ht="20.100000000000001" hidden="1" customHeight="1">
      <c r="A75" s="236" t="s">
        <v>273</v>
      </c>
      <c r="B75" s="109"/>
      <c r="C75" s="235"/>
      <c r="D75" s="235"/>
    </row>
    <row r="76" spans="1:4" ht="20.100000000000001" hidden="1" customHeight="1">
      <c r="A76" s="236" t="s">
        <v>237</v>
      </c>
      <c r="B76" s="109"/>
      <c r="C76" s="235"/>
      <c r="D76" s="235"/>
    </row>
    <row r="77" spans="1:4" ht="20.100000000000001" hidden="1" customHeight="1">
      <c r="A77" s="236" t="s">
        <v>274</v>
      </c>
      <c r="B77" s="109"/>
      <c r="C77" s="235"/>
      <c r="D77" s="235"/>
    </row>
    <row r="78" spans="1:4" ht="20.100000000000001" customHeight="1">
      <c r="A78" s="236" t="s">
        <v>275</v>
      </c>
      <c r="B78" s="109">
        <f>SUM(B79:B86)</f>
        <v>1035</v>
      </c>
      <c r="C78" s="235">
        <f>SUM(C79:C86)</f>
        <v>1035</v>
      </c>
      <c r="D78" s="235">
        <f>SUM(D79:D86)</f>
        <v>0</v>
      </c>
    </row>
    <row r="79" spans="1:4" ht="20.100000000000001" customHeight="1">
      <c r="A79" s="236" t="s">
        <v>228</v>
      </c>
      <c r="B79" s="109">
        <v>669</v>
      </c>
      <c r="C79" s="235">
        <v>669</v>
      </c>
      <c r="D79" s="235"/>
    </row>
    <row r="80" spans="1:4" ht="20.100000000000001" customHeight="1">
      <c r="A80" s="236" t="s">
        <v>229</v>
      </c>
      <c r="B80" s="109">
        <v>1</v>
      </c>
      <c r="C80" s="235">
        <v>1</v>
      </c>
      <c r="D80" s="235"/>
    </row>
    <row r="81" spans="1:4" ht="20.100000000000001" hidden="1" customHeight="1">
      <c r="A81" s="236" t="s">
        <v>230</v>
      </c>
      <c r="B81" s="109"/>
      <c r="C81" s="235"/>
      <c r="D81" s="235"/>
    </row>
    <row r="82" spans="1:4" ht="20.100000000000001" customHeight="1">
      <c r="A82" s="236" t="s">
        <v>276</v>
      </c>
      <c r="B82" s="109">
        <v>135</v>
      </c>
      <c r="C82" s="235">
        <v>135</v>
      </c>
      <c r="D82" s="235"/>
    </row>
    <row r="83" spans="1:4" ht="20.100000000000001" customHeight="1">
      <c r="A83" s="236" t="s">
        <v>277</v>
      </c>
      <c r="B83" s="109">
        <v>200</v>
      </c>
      <c r="C83" s="235">
        <v>200</v>
      </c>
      <c r="D83" s="235"/>
    </row>
    <row r="84" spans="1:4" ht="20.100000000000001" hidden="1" customHeight="1">
      <c r="A84" s="236" t="s">
        <v>269</v>
      </c>
      <c r="B84" s="109"/>
      <c r="C84" s="235"/>
      <c r="D84" s="235"/>
    </row>
    <row r="85" spans="1:4" ht="20.100000000000001" customHeight="1">
      <c r="A85" s="236" t="s">
        <v>237</v>
      </c>
      <c r="B85" s="109">
        <v>23</v>
      </c>
      <c r="C85" s="235">
        <v>23</v>
      </c>
      <c r="D85" s="235"/>
    </row>
    <row r="86" spans="1:4" ht="20.100000000000001" customHeight="1">
      <c r="A86" s="236" t="s">
        <v>278</v>
      </c>
      <c r="B86" s="109">
        <v>7</v>
      </c>
      <c r="C86" s="235">
        <v>7</v>
      </c>
      <c r="D86" s="235"/>
    </row>
    <row r="87" spans="1:4" ht="20.100000000000001" hidden="1" customHeight="1">
      <c r="A87" s="236" t="s">
        <v>279</v>
      </c>
      <c r="B87" s="109">
        <v>0</v>
      </c>
      <c r="C87" s="235">
        <f>SUM(C88:C99)</f>
        <v>0</v>
      </c>
      <c r="D87" s="235">
        <f>SUM(D88:D99)</f>
        <v>0</v>
      </c>
    </row>
    <row r="88" spans="1:4" ht="20.100000000000001" hidden="1" customHeight="1">
      <c r="A88" s="236" t="s">
        <v>228</v>
      </c>
      <c r="B88" s="109"/>
      <c r="C88" s="235"/>
      <c r="D88" s="235"/>
    </row>
    <row r="89" spans="1:4" ht="20.100000000000001" hidden="1" customHeight="1">
      <c r="A89" s="236" t="s">
        <v>229</v>
      </c>
      <c r="B89" s="109"/>
      <c r="C89" s="235"/>
      <c r="D89" s="235"/>
    </row>
    <row r="90" spans="1:4" ht="20.100000000000001" hidden="1" customHeight="1">
      <c r="A90" s="236" t="s">
        <v>230</v>
      </c>
      <c r="B90" s="109"/>
      <c r="C90" s="235"/>
      <c r="D90" s="235"/>
    </row>
    <row r="91" spans="1:4" ht="20.100000000000001" hidden="1" customHeight="1">
      <c r="A91" s="236" t="s">
        <v>280</v>
      </c>
      <c r="B91" s="109"/>
      <c r="C91" s="235"/>
      <c r="D91" s="235"/>
    </row>
    <row r="92" spans="1:4" ht="20.100000000000001" hidden="1" customHeight="1">
      <c r="A92" s="236" t="s">
        <v>281</v>
      </c>
      <c r="B92" s="109"/>
      <c r="C92" s="235"/>
      <c r="D92" s="235"/>
    </row>
    <row r="93" spans="1:4" ht="20.100000000000001" hidden="1" customHeight="1">
      <c r="A93" s="236" t="s">
        <v>269</v>
      </c>
      <c r="B93" s="109"/>
      <c r="C93" s="235"/>
      <c r="D93" s="235"/>
    </row>
    <row r="94" spans="1:4" ht="20.100000000000001" hidden="1" customHeight="1">
      <c r="A94" s="236" t="s">
        <v>282</v>
      </c>
      <c r="B94" s="109"/>
      <c r="C94" s="235"/>
      <c r="D94" s="235"/>
    </row>
    <row r="95" spans="1:4" ht="20.100000000000001" hidden="1" customHeight="1">
      <c r="A95" s="236" t="s">
        <v>283</v>
      </c>
      <c r="B95" s="109"/>
      <c r="C95" s="235"/>
      <c r="D95" s="235"/>
    </row>
    <row r="96" spans="1:4" ht="20.100000000000001" hidden="1" customHeight="1">
      <c r="A96" s="236" t="s">
        <v>284</v>
      </c>
      <c r="B96" s="109"/>
      <c r="C96" s="235"/>
      <c r="D96" s="235"/>
    </row>
    <row r="97" spans="1:4" ht="20.100000000000001" hidden="1" customHeight="1">
      <c r="A97" s="236" t="s">
        <v>285</v>
      </c>
      <c r="B97" s="109"/>
      <c r="C97" s="235"/>
      <c r="D97" s="235"/>
    </row>
    <row r="98" spans="1:4" ht="20.100000000000001" hidden="1" customHeight="1">
      <c r="A98" s="236" t="s">
        <v>237</v>
      </c>
      <c r="B98" s="109"/>
      <c r="C98" s="235"/>
      <c r="D98" s="235"/>
    </row>
    <row r="99" spans="1:4" ht="20.100000000000001" hidden="1" customHeight="1">
      <c r="A99" s="236" t="s">
        <v>286</v>
      </c>
      <c r="B99" s="109"/>
      <c r="C99" s="235"/>
      <c r="D99" s="235"/>
    </row>
    <row r="100" spans="1:4" ht="20.100000000000001" customHeight="1">
      <c r="A100" s="236" t="s">
        <v>287</v>
      </c>
      <c r="B100" s="109">
        <f>SUM(B101:B108)</f>
        <v>1558</v>
      </c>
      <c r="C100" s="235">
        <f>SUM(C101:C108)</f>
        <v>1499</v>
      </c>
      <c r="D100" s="235">
        <v>59</v>
      </c>
    </row>
    <row r="101" spans="1:4" ht="20.100000000000001" customHeight="1">
      <c r="A101" s="236" t="s">
        <v>228</v>
      </c>
      <c r="B101" s="109">
        <v>134</v>
      </c>
      <c r="C101" s="235">
        <v>134</v>
      </c>
      <c r="D101" s="235"/>
    </row>
    <row r="102" spans="1:4" ht="20.100000000000001" hidden="1" customHeight="1">
      <c r="A102" s="236" t="s">
        <v>229</v>
      </c>
      <c r="B102" s="109"/>
      <c r="C102" s="235"/>
      <c r="D102" s="235"/>
    </row>
    <row r="103" spans="1:4" ht="20.100000000000001" hidden="1" customHeight="1">
      <c r="A103" s="236" t="s">
        <v>230</v>
      </c>
      <c r="B103" s="109"/>
      <c r="C103" s="235"/>
      <c r="D103" s="235"/>
    </row>
    <row r="104" spans="1:4" ht="20.100000000000001" customHeight="1">
      <c r="A104" s="236" t="s">
        <v>288</v>
      </c>
      <c r="B104" s="109">
        <v>180</v>
      </c>
      <c r="C104" s="235">
        <v>180</v>
      </c>
      <c r="D104" s="235"/>
    </row>
    <row r="105" spans="1:4" ht="20.100000000000001" hidden="1" customHeight="1">
      <c r="A105" s="236" t="s">
        <v>289</v>
      </c>
      <c r="B105" s="109"/>
      <c r="C105" s="235"/>
      <c r="D105" s="235"/>
    </row>
    <row r="106" spans="1:4" ht="20.100000000000001" customHeight="1">
      <c r="A106" s="236" t="s">
        <v>290</v>
      </c>
      <c r="B106" s="109">
        <v>115</v>
      </c>
      <c r="C106" s="235">
        <v>115</v>
      </c>
      <c r="D106" s="235"/>
    </row>
    <row r="107" spans="1:4" ht="20.100000000000001" customHeight="1">
      <c r="A107" s="236" t="s">
        <v>237</v>
      </c>
      <c r="B107" s="109">
        <v>89</v>
      </c>
      <c r="C107" s="235">
        <v>89</v>
      </c>
      <c r="D107" s="235"/>
    </row>
    <row r="108" spans="1:4" ht="20.100000000000001" customHeight="1">
      <c r="A108" s="236" t="s">
        <v>291</v>
      </c>
      <c r="B108" s="109">
        <f>981+59</f>
        <v>1040</v>
      </c>
      <c r="C108" s="235">
        <v>981</v>
      </c>
      <c r="D108" s="235">
        <v>59</v>
      </c>
    </row>
    <row r="109" spans="1:4" ht="20.100000000000001" customHeight="1">
      <c r="A109" s="236" t="s">
        <v>292</v>
      </c>
      <c r="B109" s="109">
        <f>SUM(B110:B119)</f>
        <v>1371</v>
      </c>
      <c r="C109" s="235">
        <f>SUM(C110:C119)</f>
        <v>1301</v>
      </c>
      <c r="D109" s="235">
        <v>70</v>
      </c>
    </row>
    <row r="110" spans="1:4" ht="20.100000000000001" customHeight="1">
      <c r="A110" s="236" t="s">
        <v>228</v>
      </c>
      <c r="B110" s="109">
        <v>612</v>
      </c>
      <c r="C110" s="235">
        <v>612</v>
      </c>
      <c r="D110" s="235"/>
    </row>
    <row r="111" spans="1:4" ht="20.100000000000001" hidden="1" customHeight="1">
      <c r="A111" s="236" t="s">
        <v>229</v>
      </c>
      <c r="B111" s="109"/>
      <c r="C111" s="235"/>
      <c r="D111" s="235"/>
    </row>
    <row r="112" spans="1:4" ht="20.100000000000001" hidden="1" customHeight="1">
      <c r="A112" s="236" t="s">
        <v>230</v>
      </c>
      <c r="B112" s="109"/>
      <c r="C112" s="235"/>
      <c r="D112" s="235"/>
    </row>
    <row r="113" spans="1:4" ht="20.100000000000001" hidden="1" customHeight="1">
      <c r="A113" s="236" t="s">
        <v>293</v>
      </c>
      <c r="B113" s="109"/>
      <c r="C113" s="235"/>
      <c r="D113" s="235"/>
    </row>
    <row r="114" spans="1:4" ht="20.100000000000001" hidden="1" customHeight="1">
      <c r="A114" s="236" t="s">
        <v>294</v>
      </c>
      <c r="B114" s="109"/>
      <c r="C114" s="235"/>
      <c r="D114" s="235"/>
    </row>
    <row r="115" spans="1:4" ht="20.100000000000001" hidden="1" customHeight="1">
      <c r="A115" s="236" t="s">
        <v>295</v>
      </c>
      <c r="B115" s="109"/>
      <c r="C115" s="235"/>
      <c r="D115" s="235"/>
    </row>
    <row r="116" spans="1:4" ht="20.100000000000001" hidden="1" customHeight="1">
      <c r="A116" s="236" t="s">
        <v>296</v>
      </c>
      <c r="B116" s="109"/>
      <c r="C116" s="235"/>
      <c r="D116" s="235"/>
    </row>
    <row r="117" spans="1:4" ht="20.100000000000001" customHeight="1">
      <c r="A117" s="236" t="s">
        <v>297</v>
      </c>
      <c r="B117" s="109">
        <v>270</v>
      </c>
      <c r="C117" s="235">
        <v>270</v>
      </c>
      <c r="D117" s="235"/>
    </row>
    <row r="118" spans="1:4" ht="20.100000000000001" customHeight="1">
      <c r="A118" s="236" t="s">
        <v>237</v>
      </c>
      <c r="B118" s="109">
        <v>149</v>
      </c>
      <c r="C118" s="235">
        <v>149</v>
      </c>
      <c r="D118" s="235"/>
    </row>
    <row r="119" spans="1:4" ht="20.100000000000001" customHeight="1">
      <c r="A119" s="236" t="s">
        <v>298</v>
      </c>
      <c r="B119" s="109">
        <f>270+70</f>
        <v>340</v>
      </c>
      <c r="C119" s="235">
        <v>270</v>
      </c>
      <c r="D119" s="235">
        <v>70</v>
      </c>
    </row>
    <row r="120" spans="1:4" ht="20.100000000000001" customHeight="1">
      <c r="A120" s="236" t="s">
        <v>299</v>
      </c>
      <c r="B120" s="109">
        <f>SUM(B121:B131)</f>
        <v>21</v>
      </c>
      <c r="C120" s="235">
        <f>SUM(C121:C131)</f>
        <v>0</v>
      </c>
      <c r="D120" s="235">
        <v>21</v>
      </c>
    </row>
    <row r="121" spans="1:4" ht="20.100000000000001" hidden="1" customHeight="1">
      <c r="A121" s="236" t="s">
        <v>228</v>
      </c>
      <c r="B121" s="109"/>
      <c r="C121" s="235"/>
      <c r="D121" s="235"/>
    </row>
    <row r="122" spans="1:4" ht="20.100000000000001" hidden="1" customHeight="1">
      <c r="A122" s="236" t="s">
        <v>229</v>
      </c>
      <c r="B122" s="109"/>
      <c r="C122" s="235"/>
      <c r="D122" s="235"/>
    </row>
    <row r="123" spans="1:4" ht="20.100000000000001" hidden="1" customHeight="1">
      <c r="A123" s="236" t="s">
        <v>230</v>
      </c>
      <c r="B123" s="109"/>
      <c r="C123" s="235"/>
      <c r="D123" s="235"/>
    </row>
    <row r="124" spans="1:4" ht="20.100000000000001" hidden="1" customHeight="1">
      <c r="A124" s="236" t="s">
        <v>300</v>
      </c>
      <c r="B124" s="109"/>
      <c r="C124" s="235"/>
      <c r="D124" s="235"/>
    </row>
    <row r="125" spans="1:4" ht="20.100000000000001" hidden="1" customHeight="1">
      <c r="A125" s="236" t="s">
        <v>301</v>
      </c>
      <c r="B125" s="109"/>
      <c r="C125" s="235"/>
      <c r="D125" s="235"/>
    </row>
    <row r="126" spans="1:4" ht="20.100000000000001" hidden="1" customHeight="1">
      <c r="A126" s="236" t="s">
        <v>302</v>
      </c>
      <c r="B126" s="109"/>
      <c r="C126" s="235"/>
      <c r="D126" s="235"/>
    </row>
    <row r="127" spans="1:4" ht="20.100000000000001" hidden="1" customHeight="1">
      <c r="A127" s="236" t="s">
        <v>303</v>
      </c>
      <c r="B127" s="109"/>
      <c r="C127" s="235"/>
      <c r="D127" s="235"/>
    </row>
    <row r="128" spans="1:4" ht="20.100000000000001" hidden="1" customHeight="1">
      <c r="A128" s="236" t="s">
        <v>304</v>
      </c>
      <c r="B128" s="109"/>
      <c r="C128" s="235"/>
      <c r="D128" s="235"/>
    </row>
    <row r="129" spans="1:4" ht="20.100000000000001" hidden="1" customHeight="1">
      <c r="A129" s="236" t="s">
        <v>305</v>
      </c>
      <c r="B129" s="109"/>
      <c r="C129" s="235"/>
      <c r="D129" s="235"/>
    </row>
    <row r="130" spans="1:4" ht="20.100000000000001" hidden="1" customHeight="1">
      <c r="A130" s="236" t="s">
        <v>237</v>
      </c>
      <c r="B130" s="109"/>
      <c r="C130" s="235"/>
      <c r="D130" s="235"/>
    </row>
    <row r="131" spans="1:4" ht="20.100000000000001" customHeight="1">
      <c r="A131" s="236" t="s">
        <v>306</v>
      </c>
      <c r="B131" s="109">
        <v>21</v>
      </c>
      <c r="C131" s="235"/>
      <c r="D131" s="235">
        <v>21</v>
      </c>
    </row>
    <row r="132" spans="1:4" ht="20.100000000000001" hidden="1" customHeight="1">
      <c r="A132" s="236" t="s">
        <v>307</v>
      </c>
      <c r="B132" s="109">
        <f>SUM(B133:B138)</f>
        <v>0</v>
      </c>
      <c r="C132" s="235">
        <f>SUM(C133:C138)</f>
        <v>0</v>
      </c>
      <c r="D132" s="235">
        <f>SUM(D133:D138)</f>
        <v>0</v>
      </c>
    </row>
    <row r="133" spans="1:4" ht="20.100000000000001" hidden="1" customHeight="1">
      <c r="A133" s="236" t="s">
        <v>228</v>
      </c>
      <c r="B133" s="109"/>
      <c r="C133" s="235"/>
      <c r="D133" s="235"/>
    </row>
    <row r="134" spans="1:4" ht="20.100000000000001" hidden="1" customHeight="1">
      <c r="A134" s="236" t="s">
        <v>229</v>
      </c>
      <c r="B134" s="109"/>
      <c r="C134" s="235"/>
      <c r="D134" s="235"/>
    </row>
    <row r="135" spans="1:4" ht="20.100000000000001" hidden="1" customHeight="1">
      <c r="A135" s="236" t="s">
        <v>230</v>
      </c>
      <c r="B135" s="109"/>
      <c r="C135" s="235"/>
      <c r="D135" s="235"/>
    </row>
    <row r="136" spans="1:4" ht="20.100000000000001" hidden="1" customHeight="1">
      <c r="A136" s="236" t="s">
        <v>308</v>
      </c>
      <c r="B136" s="109"/>
      <c r="C136" s="235"/>
      <c r="D136" s="235"/>
    </row>
    <row r="137" spans="1:4" ht="20.100000000000001" hidden="1" customHeight="1">
      <c r="A137" s="236" t="s">
        <v>237</v>
      </c>
      <c r="B137" s="109"/>
      <c r="C137" s="235"/>
      <c r="D137" s="235"/>
    </row>
    <row r="138" spans="1:4" ht="20.100000000000001" hidden="1" customHeight="1">
      <c r="A138" s="236" t="s">
        <v>309</v>
      </c>
      <c r="B138" s="109"/>
      <c r="C138" s="235"/>
      <c r="D138" s="235"/>
    </row>
    <row r="139" spans="1:4" ht="20.100000000000001" customHeight="1">
      <c r="A139" s="236" t="s">
        <v>310</v>
      </c>
      <c r="B139" s="109">
        <f>SUM(B140:B146)</f>
        <v>90</v>
      </c>
      <c r="C139" s="235">
        <f>SUM(C140:C146)</f>
        <v>90</v>
      </c>
      <c r="D139" s="235">
        <f>SUM(D140:D146)</f>
        <v>0</v>
      </c>
    </row>
    <row r="140" spans="1:4" ht="20.100000000000001" customHeight="1">
      <c r="A140" s="236" t="s">
        <v>228</v>
      </c>
      <c r="B140" s="109">
        <v>59</v>
      </c>
      <c r="C140" s="235">
        <v>59</v>
      </c>
      <c r="D140" s="235"/>
    </row>
    <row r="141" spans="1:4" ht="20.100000000000001" hidden="1" customHeight="1">
      <c r="A141" s="236" t="s">
        <v>229</v>
      </c>
      <c r="B141" s="109"/>
      <c r="C141" s="235"/>
      <c r="D141" s="235"/>
    </row>
    <row r="142" spans="1:4" ht="20.100000000000001" hidden="1" customHeight="1">
      <c r="A142" s="236" t="s">
        <v>230</v>
      </c>
      <c r="B142" s="109"/>
      <c r="C142" s="235"/>
      <c r="D142" s="235"/>
    </row>
    <row r="143" spans="1:4" ht="20.100000000000001" hidden="1" customHeight="1">
      <c r="A143" s="236" t="s">
        <v>311</v>
      </c>
      <c r="B143" s="109"/>
      <c r="C143" s="235"/>
      <c r="D143" s="235"/>
    </row>
    <row r="144" spans="1:4" ht="20.100000000000001" hidden="1" customHeight="1">
      <c r="A144" s="236" t="s">
        <v>312</v>
      </c>
      <c r="B144" s="109"/>
      <c r="C144" s="235"/>
      <c r="D144" s="235"/>
    </row>
    <row r="145" spans="1:4" ht="20.100000000000001" hidden="1" customHeight="1">
      <c r="A145" s="236" t="s">
        <v>237</v>
      </c>
      <c r="B145" s="109"/>
      <c r="C145" s="235"/>
      <c r="D145" s="235"/>
    </row>
    <row r="146" spans="1:4" ht="20.100000000000001" customHeight="1">
      <c r="A146" s="236" t="s">
        <v>313</v>
      </c>
      <c r="B146" s="109">
        <v>31</v>
      </c>
      <c r="C146" s="235">
        <v>31</v>
      </c>
      <c r="D146" s="235"/>
    </row>
    <row r="147" spans="1:4" ht="20.100000000000001" customHeight="1">
      <c r="A147" s="236" t="s">
        <v>314</v>
      </c>
      <c r="B147" s="109">
        <f>SUM(B148:B152)</f>
        <v>465</v>
      </c>
      <c r="C147" s="235">
        <f>SUM(C148:C152)</f>
        <v>465</v>
      </c>
      <c r="D147" s="235">
        <f>SUM(D148:D152)</f>
        <v>0</v>
      </c>
    </row>
    <row r="148" spans="1:4" ht="20.100000000000001" customHeight="1">
      <c r="A148" s="236" t="s">
        <v>228</v>
      </c>
      <c r="B148" s="109">
        <v>218</v>
      </c>
      <c r="C148" s="235">
        <v>218</v>
      </c>
      <c r="D148" s="235"/>
    </row>
    <row r="149" spans="1:4" ht="20.100000000000001" hidden="1" customHeight="1">
      <c r="A149" s="236" t="s">
        <v>229</v>
      </c>
      <c r="B149" s="109"/>
      <c r="C149" s="235"/>
      <c r="D149" s="235"/>
    </row>
    <row r="150" spans="1:4" ht="20.100000000000001" hidden="1" customHeight="1">
      <c r="A150" s="236" t="s">
        <v>230</v>
      </c>
      <c r="B150" s="109"/>
      <c r="C150" s="235"/>
      <c r="D150" s="235"/>
    </row>
    <row r="151" spans="1:4" ht="20.100000000000001" customHeight="1">
      <c r="A151" s="236" t="s">
        <v>315</v>
      </c>
      <c r="B151" s="109">
        <v>247</v>
      </c>
      <c r="C151" s="235">
        <v>247</v>
      </c>
      <c r="D151" s="235"/>
    </row>
    <row r="152" spans="1:4" ht="20.100000000000001" hidden="1" customHeight="1">
      <c r="A152" s="236" t="s">
        <v>316</v>
      </c>
      <c r="B152" s="109"/>
      <c r="C152" s="235"/>
      <c r="D152" s="235"/>
    </row>
    <row r="153" spans="1:4" ht="20.100000000000001" customHeight="1">
      <c r="A153" s="236" t="s">
        <v>317</v>
      </c>
      <c r="B153" s="109">
        <f>SUM(B154:B159)</f>
        <v>411</v>
      </c>
      <c r="C153" s="235">
        <f>SUM(C154:C159)</f>
        <v>411</v>
      </c>
      <c r="D153" s="235">
        <f>SUM(D154:D159)</f>
        <v>0</v>
      </c>
    </row>
    <row r="154" spans="1:4" ht="20.100000000000001" customHeight="1">
      <c r="A154" s="236" t="s">
        <v>228</v>
      </c>
      <c r="B154" s="109">
        <v>263</v>
      </c>
      <c r="C154" s="235">
        <v>263</v>
      </c>
      <c r="D154" s="235"/>
    </row>
    <row r="155" spans="1:4" ht="20.100000000000001" hidden="1" customHeight="1">
      <c r="A155" s="236" t="s">
        <v>229</v>
      </c>
      <c r="B155" s="109"/>
      <c r="C155" s="235"/>
      <c r="D155" s="235"/>
    </row>
    <row r="156" spans="1:4" ht="20.100000000000001" hidden="1" customHeight="1">
      <c r="A156" s="236" t="s">
        <v>230</v>
      </c>
      <c r="B156" s="109"/>
      <c r="C156" s="235"/>
      <c r="D156" s="235"/>
    </row>
    <row r="157" spans="1:4" ht="20.100000000000001" hidden="1" customHeight="1">
      <c r="A157" s="236" t="s">
        <v>242</v>
      </c>
      <c r="B157" s="109"/>
      <c r="C157" s="235"/>
      <c r="D157" s="235"/>
    </row>
    <row r="158" spans="1:4" ht="20.100000000000001" customHeight="1">
      <c r="A158" s="236" t="s">
        <v>237</v>
      </c>
      <c r="B158" s="109">
        <v>17</v>
      </c>
      <c r="C158" s="235">
        <v>17</v>
      </c>
      <c r="D158" s="235"/>
    </row>
    <row r="159" spans="1:4" ht="20.100000000000001" customHeight="1">
      <c r="A159" s="236" t="s">
        <v>318</v>
      </c>
      <c r="B159" s="109">
        <v>131</v>
      </c>
      <c r="C159" s="235">
        <v>131</v>
      </c>
      <c r="D159" s="235"/>
    </row>
    <row r="160" spans="1:4" ht="20.100000000000001" customHeight="1">
      <c r="A160" s="236" t="s">
        <v>319</v>
      </c>
      <c r="B160" s="109">
        <f>SUM(B161:B166)</f>
        <v>1945</v>
      </c>
      <c r="C160" s="235">
        <f>SUM(C161:C166)</f>
        <v>1923</v>
      </c>
      <c r="D160" s="235">
        <v>22</v>
      </c>
    </row>
    <row r="161" spans="1:4" ht="20.100000000000001" customHeight="1">
      <c r="A161" s="236" t="s">
        <v>228</v>
      </c>
      <c r="B161" s="109">
        <v>687</v>
      </c>
      <c r="C161" s="235">
        <v>687</v>
      </c>
      <c r="D161" s="235"/>
    </row>
    <row r="162" spans="1:4" ht="20.100000000000001" customHeight="1">
      <c r="A162" s="236" t="s">
        <v>229</v>
      </c>
      <c r="B162" s="109">
        <v>29</v>
      </c>
      <c r="C162" s="235">
        <v>29</v>
      </c>
      <c r="D162" s="235"/>
    </row>
    <row r="163" spans="1:4" ht="20.100000000000001" hidden="1" customHeight="1">
      <c r="A163" s="236" t="s">
        <v>230</v>
      </c>
      <c r="B163" s="109"/>
      <c r="C163" s="235"/>
      <c r="D163" s="235"/>
    </row>
    <row r="164" spans="1:4" ht="20.100000000000001" hidden="1" customHeight="1">
      <c r="A164" s="236" t="s">
        <v>320</v>
      </c>
      <c r="B164" s="109"/>
      <c r="C164" s="235"/>
      <c r="D164" s="235"/>
    </row>
    <row r="165" spans="1:4" ht="20.100000000000001" customHeight="1">
      <c r="A165" s="236" t="s">
        <v>237</v>
      </c>
      <c r="B165" s="109">
        <v>259</v>
      </c>
      <c r="C165" s="235">
        <v>259</v>
      </c>
      <c r="D165" s="235"/>
    </row>
    <row r="166" spans="1:4" ht="20.100000000000001" customHeight="1">
      <c r="A166" s="236" t="s">
        <v>321</v>
      </c>
      <c r="B166" s="109">
        <f>948+22</f>
        <v>970</v>
      </c>
      <c r="C166" s="235">
        <v>948</v>
      </c>
      <c r="D166" s="235">
        <v>22</v>
      </c>
    </row>
    <row r="167" spans="1:4" ht="20.100000000000001" customHeight="1">
      <c r="A167" s="236" t="s">
        <v>322</v>
      </c>
      <c r="B167" s="109">
        <f>SUM(B168:B173)</f>
        <v>4884</v>
      </c>
      <c r="C167" s="235">
        <f>SUM(C168:C173)</f>
        <v>4884</v>
      </c>
      <c r="D167" s="235">
        <f>SUM(D168:D173)</f>
        <v>0</v>
      </c>
    </row>
    <row r="168" spans="1:4" ht="20.100000000000001" customHeight="1">
      <c r="A168" s="236" t="s">
        <v>228</v>
      </c>
      <c r="B168" s="109">
        <v>1547</v>
      </c>
      <c r="C168" s="235">
        <v>1547</v>
      </c>
      <c r="D168" s="235"/>
    </row>
    <row r="169" spans="1:4" ht="20.100000000000001" hidden="1" customHeight="1">
      <c r="A169" s="236" t="s">
        <v>229</v>
      </c>
      <c r="B169" s="109"/>
      <c r="C169" s="235"/>
      <c r="D169" s="235"/>
    </row>
    <row r="170" spans="1:4" ht="20.100000000000001" customHeight="1">
      <c r="A170" s="236" t="s">
        <v>230</v>
      </c>
      <c r="B170" s="109">
        <v>1281</v>
      </c>
      <c r="C170" s="235">
        <v>1281</v>
      </c>
      <c r="D170" s="235"/>
    </row>
    <row r="171" spans="1:4" ht="20.100000000000001" customHeight="1">
      <c r="A171" s="236" t="s">
        <v>323</v>
      </c>
      <c r="B171" s="109">
        <v>638</v>
      </c>
      <c r="C171" s="235">
        <v>638</v>
      </c>
      <c r="D171" s="235"/>
    </row>
    <row r="172" spans="1:4" ht="20.100000000000001" customHeight="1">
      <c r="A172" s="236" t="s">
        <v>237</v>
      </c>
      <c r="B172" s="109">
        <v>199</v>
      </c>
      <c r="C172" s="235">
        <v>199</v>
      </c>
      <c r="D172" s="235"/>
    </row>
    <row r="173" spans="1:4" ht="20.100000000000001" customHeight="1">
      <c r="A173" s="236" t="s">
        <v>324</v>
      </c>
      <c r="B173" s="109">
        <v>1219</v>
      </c>
      <c r="C173" s="235">
        <v>1219</v>
      </c>
      <c r="D173" s="235"/>
    </row>
    <row r="174" spans="1:4" ht="20.100000000000001" customHeight="1">
      <c r="A174" s="236" t="s">
        <v>325</v>
      </c>
      <c r="B174" s="109">
        <f>SUM(B175:B180)</f>
        <v>6165</v>
      </c>
      <c r="C174" s="235">
        <f>SUM(C175:C180)</f>
        <v>6165</v>
      </c>
      <c r="D174" s="235">
        <f>SUM(D175:D180)</f>
        <v>0</v>
      </c>
    </row>
    <row r="175" spans="1:4" ht="20.100000000000001" customHeight="1">
      <c r="A175" s="236" t="s">
        <v>228</v>
      </c>
      <c r="B175" s="109">
        <v>1011</v>
      </c>
      <c r="C175" s="235">
        <v>1011</v>
      </c>
      <c r="D175" s="235"/>
    </row>
    <row r="176" spans="1:4" ht="20.100000000000001" hidden="1" customHeight="1">
      <c r="A176" s="236" t="s">
        <v>229</v>
      </c>
      <c r="B176" s="109"/>
      <c r="C176" s="235"/>
      <c r="D176" s="235"/>
    </row>
    <row r="177" spans="1:4" ht="20.100000000000001" hidden="1" customHeight="1">
      <c r="A177" s="236" t="s">
        <v>230</v>
      </c>
      <c r="B177" s="109"/>
      <c r="C177" s="235"/>
      <c r="D177" s="235"/>
    </row>
    <row r="178" spans="1:4" ht="20.100000000000001" customHeight="1">
      <c r="A178" s="236" t="s">
        <v>326</v>
      </c>
      <c r="B178" s="109">
        <v>1903</v>
      </c>
      <c r="C178" s="235">
        <v>1903</v>
      </c>
      <c r="D178" s="235"/>
    </row>
    <row r="179" spans="1:4" ht="20.100000000000001" hidden="1" customHeight="1">
      <c r="A179" s="236" t="s">
        <v>237</v>
      </c>
      <c r="B179" s="109"/>
      <c r="C179" s="235"/>
      <c r="D179" s="235"/>
    </row>
    <row r="180" spans="1:4" ht="20.100000000000001" customHeight="1">
      <c r="A180" s="236" t="s">
        <v>327</v>
      </c>
      <c r="B180" s="109">
        <v>3251</v>
      </c>
      <c r="C180" s="235">
        <v>3251</v>
      </c>
      <c r="D180" s="235"/>
    </row>
    <row r="181" spans="1:4" ht="20.100000000000001" customHeight="1">
      <c r="A181" s="236" t="s">
        <v>328</v>
      </c>
      <c r="B181" s="109">
        <f>SUM(B182:B187)</f>
        <v>1909</v>
      </c>
      <c r="C181" s="235">
        <f>SUM(C182:C187)</f>
        <v>1909</v>
      </c>
      <c r="D181" s="235">
        <f>SUM(D182:D187)</f>
        <v>0</v>
      </c>
    </row>
    <row r="182" spans="1:4" ht="20.100000000000001" customHeight="1">
      <c r="A182" s="236" t="s">
        <v>228</v>
      </c>
      <c r="B182" s="109">
        <v>446</v>
      </c>
      <c r="C182" s="235">
        <v>446</v>
      </c>
      <c r="D182" s="235"/>
    </row>
    <row r="183" spans="1:4" ht="20.100000000000001" hidden="1" customHeight="1">
      <c r="A183" s="236" t="s">
        <v>229</v>
      </c>
      <c r="B183" s="109"/>
      <c r="C183" s="235"/>
      <c r="D183" s="235"/>
    </row>
    <row r="184" spans="1:4" ht="20.100000000000001" hidden="1" customHeight="1">
      <c r="A184" s="236" t="s">
        <v>230</v>
      </c>
      <c r="B184" s="109"/>
      <c r="C184" s="235"/>
      <c r="D184" s="235"/>
    </row>
    <row r="185" spans="1:4" ht="20.100000000000001" hidden="1" customHeight="1">
      <c r="A185" s="236" t="s">
        <v>329</v>
      </c>
      <c r="B185" s="109"/>
      <c r="C185" s="235"/>
      <c r="D185" s="235"/>
    </row>
    <row r="186" spans="1:4" ht="20.100000000000001" customHeight="1">
      <c r="A186" s="236" t="s">
        <v>237</v>
      </c>
      <c r="B186" s="109">
        <v>74</v>
      </c>
      <c r="C186" s="235">
        <v>74</v>
      </c>
      <c r="D186" s="235"/>
    </row>
    <row r="187" spans="1:4" ht="20.100000000000001" customHeight="1">
      <c r="A187" s="236" t="s">
        <v>330</v>
      </c>
      <c r="B187" s="109">
        <v>1389</v>
      </c>
      <c r="C187" s="235">
        <v>1389</v>
      </c>
      <c r="D187" s="235"/>
    </row>
    <row r="188" spans="1:4" ht="20.100000000000001" customHeight="1">
      <c r="A188" s="236" t="s">
        <v>331</v>
      </c>
      <c r="B188" s="109">
        <f>SUM(B189:B195)</f>
        <v>419</v>
      </c>
      <c r="C188" s="235">
        <f>SUM(C189:C195)</f>
        <v>419</v>
      </c>
      <c r="D188" s="235">
        <f>SUM(D189:D195)</f>
        <v>0</v>
      </c>
    </row>
    <row r="189" spans="1:4" ht="20.100000000000001" customHeight="1">
      <c r="A189" s="236" t="s">
        <v>228</v>
      </c>
      <c r="B189" s="109">
        <v>210</v>
      </c>
      <c r="C189" s="235">
        <v>210</v>
      </c>
      <c r="D189" s="235"/>
    </row>
    <row r="190" spans="1:4" ht="20.100000000000001" hidden="1" customHeight="1">
      <c r="A190" s="236" t="s">
        <v>229</v>
      </c>
      <c r="B190" s="109"/>
      <c r="C190" s="235"/>
      <c r="D190" s="235"/>
    </row>
    <row r="191" spans="1:4" ht="20.100000000000001" hidden="1" customHeight="1">
      <c r="A191" s="236" t="s">
        <v>230</v>
      </c>
      <c r="B191" s="109"/>
      <c r="C191" s="235"/>
      <c r="D191" s="235"/>
    </row>
    <row r="192" spans="1:4" ht="20.100000000000001" hidden="1" customHeight="1">
      <c r="A192" s="236" t="s">
        <v>332</v>
      </c>
      <c r="B192" s="109"/>
      <c r="C192" s="235"/>
      <c r="D192" s="235"/>
    </row>
    <row r="193" spans="1:4" ht="20.100000000000001" hidden="1" customHeight="1">
      <c r="A193" s="236" t="s">
        <v>333</v>
      </c>
      <c r="B193" s="109"/>
      <c r="C193" s="235"/>
      <c r="D193" s="235"/>
    </row>
    <row r="194" spans="1:4" ht="20.100000000000001" customHeight="1">
      <c r="A194" s="236" t="s">
        <v>237</v>
      </c>
      <c r="B194" s="109">
        <v>31</v>
      </c>
      <c r="C194" s="235">
        <v>31</v>
      </c>
      <c r="D194" s="235"/>
    </row>
    <row r="195" spans="1:4" ht="20.100000000000001" customHeight="1">
      <c r="A195" s="236" t="s">
        <v>334</v>
      </c>
      <c r="B195" s="109">
        <v>178</v>
      </c>
      <c r="C195" s="235">
        <v>178</v>
      </c>
      <c r="D195" s="235"/>
    </row>
    <row r="196" spans="1:4" ht="20.100000000000001" hidden="1" customHeight="1">
      <c r="A196" s="236" t="s">
        <v>335</v>
      </c>
      <c r="B196" s="109">
        <f>SUM(B197:B201)</f>
        <v>0</v>
      </c>
      <c r="C196" s="235">
        <f>SUM(C197:C201)</f>
        <v>0</v>
      </c>
      <c r="D196" s="235">
        <f>SUM(D197:D201)</f>
        <v>0</v>
      </c>
    </row>
    <row r="197" spans="1:4" ht="20.100000000000001" hidden="1" customHeight="1">
      <c r="A197" s="236" t="s">
        <v>228</v>
      </c>
      <c r="B197" s="109"/>
      <c r="C197" s="235"/>
      <c r="D197" s="235"/>
    </row>
    <row r="198" spans="1:4" ht="20.100000000000001" hidden="1" customHeight="1">
      <c r="A198" s="236" t="s">
        <v>229</v>
      </c>
      <c r="B198" s="109"/>
      <c r="C198" s="235"/>
      <c r="D198" s="235"/>
    </row>
    <row r="199" spans="1:4" ht="20.100000000000001" hidden="1" customHeight="1">
      <c r="A199" s="236" t="s">
        <v>230</v>
      </c>
      <c r="B199" s="109"/>
      <c r="C199" s="235"/>
      <c r="D199" s="235"/>
    </row>
    <row r="200" spans="1:4" ht="20.100000000000001" hidden="1" customHeight="1">
      <c r="A200" s="236" t="s">
        <v>237</v>
      </c>
      <c r="B200" s="109"/>
      <c r="C200" s="235"/>
      <c r="D200" s="235"/>
    </row>
    <row r="201" spans="1:4" ht="20.100000000000001" hidden="1" customHeight="1">
      <c r="A201" s="236" t="s">
        <v>336</v>
      </c>
      <c r="B201" s="109"/>
      <c r="C201" s="235"/>
      <c r="D201" s="235"/>
    </row>
    <row r="202" spans="1:4" ht="20.100000000000001" customHeight="1">
      <c r="A202" s="236" t="s">
        <v>337</v>
      </c>
      <c r="B202" s="109">
        <f>SUM(B203:B207)</f>
        <v>1593</v>
      </c>
      <c r="C202" s="235">
        <f>SUM(C203:C207)</f>
        <v>1593</v>
      </c>
      <c r="D202" s="235">
        <f>SUM(D203:D207)</f>
        <v>0</v>
      </c>
    </row>
    <row r="203" spans="1:4" ht="20.100000000000001" customHeight="1">
      <c r="A203" s="236" t="s">
        <v>228</v>
      </c>
      <c r="B203" s="109">
        <v>763</v>
      </c>
      <c r="C203" s="235">
        <v>763</v>
      </c>
      <c r="D203" s="235"/>
    </row>
    <row r="204" spans="1:4" ht="20.100000000000001" hidden="1" customHeight="1">
      <c r="A204" s="236" t="s">
        <v>229</v>
      </c>
      <c r="B204" s="109"/>
      <c r="C204" s="235"/>
      <c r="D204" s="235"/>
    </row>
    <row r="205" spans="1:4" ht="20.100000000000001" hidden="1" customHeight="1">
      <c r="A205" s="236" t="s">
        <v>230</v>
      </c>
      <c r="B205" s="109"/>
      <c r="C205" s="235"/>
      <c r="D205" s="235"/>
    </row>
    <row r="206" spans="1:4" ht="20.100000000000001" customHeight="1">
      <c r="A206" s="236" t="s">
        <v>237</v>
      </c>
      <c r="B206" s="109">
        <v>201</v>
      </c>
      <c r="C206" s="235">
        <v>201</v>
      </c>
      <c r="D206" s="235"/>
    </row>
    <row r="207" spans="1:4" ht="20.100000000000001" customHeight="1">
      <c r="A207" s="236" t="s">
        <v>338</v>
      </c>
      <c r="B207" s="109">
        <v>629</v>
      </c>
      <c r="C207" s="235">
        <v>629</v>
      </c>
      <c r="D207" s="235"/>
    </row>
    <row r="208" spans="1:4" ht="20.100000000000001" customHeight="1">
      <c r="A208" s="236" t="s">
        <v>339</v>
      </c>
      <c r="B208" s="109">
        <f>SUM(B209:B214)</f>
        <v>541</v>
      </c>
      <c r="C208" s="235">
        <f>SUM(C209:C214)</f>
        <v>541</v>
      </c>
      <c r="D208" s="235">
        <f>SUM(D209:D214)</f>
        <v>0</v>
      </c>
    </row>
    <row r="209" spans="1:4" ht="20.100000000000001" customHeight="1">
      <c r="A209" s="236" t="s">
        <v>228</v>
      </c>
      <c r="B209" s="109">
        <v>114</v>
      </c>
      <c r="C209" s="235">
        <v>114</v>
      </c>
      <c r="D209" s="235"/>
    </row>
    <row r="210" spans="1:4" ht="20.100000000000001" hidden="1" customHeight="1">
      <c r="A210" s="236" t="s">
        <v>229</v>
      </c>
      <c r="B210" s="109"/>
      <c r="C210" s="235"/>
      <c r="D210" s="235"/>
    </row>
    <row r="211" spans="1:4" ht="20.100000000000001" hidden="1" customHeight="1">
      <c r="A211" s="236" t="s">
        <v>230</v>
      </c>
      <c r="B211" s="109"/>
      <c r="C211" s="235"/>
      <c r="D211" s="235"/>
    </row>
    <row r="212" spans="1:4" ht="20.100000000000001" hidden="1" customHeight="1">
      <c r="A212" s="236" t="s">
        <v>340</v>
      </c>
      <c r="B212" s="109"/>
      <c r="C212" s="235"/>
      <c r="D212" s="235"/>
    </row>
    <row r="213" spans="1:4" ht="20.100000000000001" hidden="1" customHeight="1">
      <c r="A213" s="236" t="s">
        <v>237</v>
      </c>
      <c r="B213" s="109"/>
      <c r="C213" s="235"/>
      <c r="D213" s="235"/>
    </row>
    <row r="214" spans="1:4" ht="20.100000000000001" customHeight="1">
      <c r="A214" s="236" t="s">
        <v>341</v>
      </c>
      <c r="B214" s="109">
        <v>427</v>
      </c>
      <c r="C214" s="235">
        <v>427</v>
      </c>
      <c r="D214" s="235"/>
    </row>
    <row r="215" spans="1:4" ht="20.100000000000001" customHeight="1">
      <c r="A215" s="236" t="s">
        <v>342</v>
      </c>
      <c r="B215" s="109">
        <f>SUM(B216:B229)</f>
        <v>3984</v>
      </c>
      <c r="C215" s="235">
        <f>SUM(C216:C229)</f>
        <v>3805</v>
      </c>
      <c r="D215" s="235">
        <v>179</v>
      </c>
    </row>
    <row r="216" spans="1:4" ht="20.100000000000001" customHeight="1">
      <c r="A216" s="236" t="s">
        <v>228</v>
      </c>
      <c r="B216" s="109">
        <v>986</v>
      </c>
      <c r="C216" s="235">
        <v>986</v>
      </c>
      <c r="D216" s="235"/>
    </row>
    <row r="217" spans="1:4" ht="20.100000000000001" hidden="1" customHeight="1">
      <c r="A217" s="236" t="s">
        <v>229</v>
      </c>
      <c r="B217" s="109"/>
      <c r="C217" s="235"/>
      <c r="D217" s="235"/>
    </row>
    <row r="218" spans="1:4" ht="20.100000000000001" hidden="1" customHeight="1">
      <c r="A218" s="236" t="s">
        <v>230</v>
      </c>
      <c r="B218" s="109"/>
      <c r="C218" s="235"/>
      <c r="D218" s="235"/>
    </row>
    <row r="219" spans="1:4" ht="20.100000000000001" hidden="1" customHeight="1">
      <c r="A219" s="236" t="s">
        <v>343</v>
      </c>
      <c r="B219" s="109"/>
      <c r="C219" s="235"/>
      <c r="D219" s="235"/>
    </row>
    <row r="220" spans="1:4" ht="20.100000000000001" hidden="1" customHeight="1">
      <c r="A220" s="236" t="s">
        <v>344</v>
      </c>
      <c r="B220" s="109"/>
      <c r="C220" s="235"/>
      <c r="D220" s="235"/>
    </row>
    <row r="221" spans="1:4" ht="20.100000000000001" hidden="1" customHeight="1">
      <c r="A221" s="236" t="s">
        <v>269</v>
      </c>
      <c r="B221" s="109"/>
      <c r="C221" s="235"/>
      <c r="D221" s="235"/>
    </row>
    <row r="222" spans="1:4" ht="20.100000000000001" hidden="1" customHeight="1">
      <c r="A222" s="236" t="s">
        <v>345</v>
      </c>
      <c r="B222" s="109"/>
      <c r="C222" s="235"/>
      <c r="D222" s="235"/>
    </row>
    <row r="223" spans="1:4" ht="20.100000000000001" hidden="1" customHeight="1">
      <c r="A223" s="236" t="s">
        <v>346</v>
      </c>
      <c r="B223" s="109"/>
      <c r="C223" s="235"/>
      <c r="D223" s="235"/>
    </row>
    <row r="224" spans="1:4" ht="20.100000000000001" hidden="1" customHeight="1">
      <c r="A224" s="236" t="s">
        <v>347</v>
      </c>
      <c r="B224" s="109"/>
      <c r="C224" s="235"/>
      <c r="D224" s="235"/>
    </row>
    <row r="225" spans="1:4" ht="20.100000000000001" hidden="1" customHeight="1">
      <c r="A225" s="236" t="s">
        <v>348</v>
      </c>
      <c r="B225" s="109"/>
      <c r="C225" s="235"/>
      <c r="D225" s="235"/>
    </row>
    <row r="226" spans="1:4" ht="20.100000000000001" hidden="1" customHeight="1">
      <c r="A226" s="236" t="s">
        <v>349</v>
      </c>
      <c r="B226" s="109"/>
      <c r="C226" s="235"/>
      <c r="D226" s="235"/>
    </row>
    <row r="227" spans="1:4" ht="20.100000000000001" hidden="1" customHeight="1">
      <c r="A227" s="236" t="s">
        <v>350</v>
      </c>
      <c r="B227" s="109"/>
      <c r="C227" s="235"/>
      <c r="D227" s="235"/>
    </row>
    <row r="228" spans="1:4" ht="20.100000000000001" customHeight="1">
      <c r="A228" s="236" t="s">
        <v>237</v>
      </c>
      <c r="B228" s="109">
        <v>1529</v>
      </c>
      <c r="C228" s="235">
        <v>1529</v>
      </c>
      <c r="D228" s="235"/>
    </row>
    <row r="229" spans="1:4" ht="20.100000000000001" customHeight="1">
      <c r="A229" s="236" t="s">
        <v>351</v>
      </c>
      <c r="B229" s="109">
        <f>1290+179</f>
        <v>1469</v>
      </c>
      <c r="C229" s="235">
        <v>1290</v>
      </c>
      <c r="D229" s="235">
        <v>179</v>
      </c>
    </row>
    <row r="230" spans="1:4" ht="20.100000000000001" customHeight="1">
      <c r="A230" s="236" t="s">
        <v>352</v>
      </c>
      <c r="B230" s="109">
        <f>SUM(B231:B232)</f>
        <v>3223</v>
      </c>
      <c r="C230" s="235">
        <f>SUM(C231:C232)</f>
        <v>3163</v>
      </c>
      <c r="D230" s="235">
        <v>60</v>
      </c>
    </row>
    <row r="231" spans="1:4" ht="20.100000000000001" hidden="1" customHeight="1">
      <c r="A231" s="236" t="s">
        <v>353</v>
      </c>
      <c r="B231" s="109"/>
      <c r="C231" s="235"/>
      <c r="D231" s="235"/>
    </row>
    <row r="232" spans="1:4" ht="20.100000000000001" customHeight="1">
      <c r="A232" s="236" t="s">
        <v>354</v>
      </c>
      <c r="B232" s="109">
        <f>3163+60</f>
        <v>3223</v>
      </c>
      <c r="C232" s="235">
        <v>3163</v>
      </c>
      <c r="D232" s="235">
        <v>60</v>
      </c>
    </row>
    <row r="233" spans="1:4" ht="20.100000000000001" hidden="1" customHeight="1">
      <c r="A233" s="234" t="s">
        <v>355</v>
      </c>
      <c r="B233" s="109">
        <f>SUM(B234:B236)</f>
        <v>0</v>
      </c>
      <c r="C233" s="235">
        <f>SUM(C234:C236)</f>
        <v>0</v>
      </c>
      <c r="D233" s="235">
        <f>SUM(D234:D236)</f>
        <v>0</v>
      </c>
    </row>
    <row r="234" spans="1:4" ht="20.100000000000001" hidden="1" customHeight="1">
      <c r="A234" s="236" t="s">
        <v>356</v>
      </c>
      <c r="B234" s="109"/>
      <c r="C234" s="235"/>
      <c r="D234" s="235"/>
    </row>
    <row r="235" spans="1:4" ht="20.100000000000001" hidden="1" customHeight="1">
      <c r="A235" s="236" t="s">
        <v>357</v>
      </c>
      <c r="B235" s="109"/>
      <c r="C235" s="235"/>
      <c r="D235" s="235"/>
    </row>
    <row r="236" spans="1:4" ht="20.100000000000001" hidden="1" customHeight="1">
      <c r="A236" s="236" t="s">
        <v>358</v>
      </c>
      <c r="B236" s="109"/>
      <c r="C236" s="235"/>
      <c r="D236" s="235"/>
    </row>
    <row r="237" spans="1:4" ht="20.100000000000001" hidden="1" customHeight="1">
      <c r="A237" s="234" t="s">
        <v>359</v>
      </c>
      <c r="B237" s="109">
        <f>B238+B248</f>
        <v>0</v>
      </c>
      <c r="C237" s="235">
        <f>C238+C248</f>
        <v>0</v>
      </c>
      <c r="D237" s="235">
        <f>D238+D248</f>
        <v>0</v>
      </c>
    </row>
    <row r="238" spans="1:4" ht="20.100000000000001" hidden="1" customHeight="1">
      <c r="A238" s="236" t="s">
        <v>360</v>
      </c>
      <c r="B238" s="109">
        <f>SUM(B239:B247)</f>
        <v>0</v>
      </c>
      <c r="C238" s="235">
        <f>SUM(C239:C247)</f>
        <v>0</v>
      </c>
      <c r="D238" s="235"/>
    </row>
    <row r="239" spans="1:4" ht="20.100000000000001" hidden="1" customHeight="1">
      <c r="A239" s="236" t="s">
        <v>361</v>
      </c>
      <c r="B239" s="109"/>
      <c r="C239" s="235"/>
      <c r="D239" s="235"/>
    </row>
    <row r="240" spans="1:4" ht="20.100000000000001" hidden="1" customHeight="1">
      <c r="A240" s="236" t="s">
        <v>362</v>
      </c>
      <c r="B240" s="109"/>
      <c r="C240" s="235"/>
      <c r="D240" s="235"/>
    </row>
    <row r="241" spans="1:4" ht="20.100000000000001" hidden="1" customHeight="1">
      <c r="A241" s="236" t="s">
        <v>363</v>
      </c>
      <c r="B241" s="109"/>
      <c r="C241" s="235"/>
      <c r="D241" s="235"/>
    </row>
    <row r="242" spans="1:4" ht="20.100000000000001" hidden="1" customHeight="1">
      <c r="A242" s="236" t="s">
        <v>364</v>
      </c>
      <c r="B242" s="109"/>
      <c r="C242" s="235"/>
      <c r="D242" s="235"/>
    </row>
    <row r="243" spans="1:4" ht="20.100000000000001" hidden="1" customHeight="1">
      <c r="A243" s="236" t="s">
        <v>365</v>
      </c>
      <c r="B243" s="109"/>
      <c r="C243" s="235"/>
      <c r="D243" s="235"/>
    </row>
    <row r="244" spans="1:4" ht="20.100000000000001" hidden="1" customHeight="1">
      <c r="A244" s="236" t="s">
        <v>366</v>
      </c>
      <c r="B244" s="109"/>
      <c r="C244" s="235"/>
      <c r="D244" s="235"/>
    </row>
    <row r="245" spans="1:4" ht="20.100000000000001" hidden="1" customHeight="1">
      <c r="A245" s="236" t="s">
        <v>367</v>
      </c>
      <c r="B245" s="109"/>
      <c r="C245" s="235"/>
      <c r="D245" s="235"/>
    </row>
    <row r="246" spans="1:4" ht="20.100000000000001" hidden="1" customHeight="1">
      <c r="A246" s="236" t="s">
        <v>368</v>
      </c>
      <c r="B246" s="109"/>
      <c r="C246" s="235"/>
      <c r="D246" s="235"/>
    </row>
    <row r="247" spans="1:4" ht="20.100000000000001" hidden="1" customHeight="1">
      <c r="A247" s="236" t="s">
        <v>369</v>
      </c>
      <c r="B247" s="109"/>
      <c r="C247" s="235"/>
      <c r="D247" s="235"/>
    </row>
    <row r="248" spans="1:4" ht="20.100000000000001" hidden="1" customHeight="1">
      <c r="A248" s="236" t="s">
        <v>370</v>
      </c>
      <c r="B248" s="109"/>
      <c r="C248" s="235"/>
      <c r="D248" s="235"/>
    </row>
    <row r="249" spans="1:4" ht="20.100000000000001" customHeight="1">
      <c r="A249" s="234" t="s">
        <v>371</v>
      </c>
      <c r="B249" s="109">
        <f>B250+B253+B264+B271+B279+B288+B302+B312+B322+B330+B336</f>
        <v>37937</v>
      </c>
      <c r="C249" s="235">
        <f>C250+C253+C264+C271+C279+C288+C302+C312+C322+C330+C336</f>
        <v>31706</v>
      </c>
      <c r="D249" s="235">
        <f>D250+D253+D264+D271+D279+D288+D302+D312+D322+D330+D336</f>
        <v>6231</v>
      </c>
    </row>
    <row r="250" spans="1:4" ht="20.100000000000001" customHeight="1">
      <c r="A250" s="236" t="s">
        <v>372</v>
      </c>
      <c r="B250" s="109">
        <f>SUM(B251:B252)</f>
        <v>450</v>
      </c>
      <c r="C250" s="235">
        <f>SUM(C251:C252)</f>
        <v>450</v>
      </c>
      <c r="D250" s="235">
        <f>SUM(D251:D252)</f>
        <v>0</v>
      </c>
    </row>
    <row r="251" spans="1:4" ht="20.100000000000001" hidden="1" customHeight="1">
      <c r="A251" s="236" t="s">
        <v>373</v>
      </c>
      <c r="B251" s="109"/>
      <c r="C251" s="235"/>
      <c r="D251" s="235"/>
    </row>
    <row r="252" spans="1:4" ht="20.100000000000001" customHeight="1">
      <c r="A252" s="236" t="s">
        <v>374</v>
      </c>
      <c r="B252" s="109">
        <v>450</v>
      </c>
      <c r="C252" s="235">
        <v>450</v>
      </c>
      <c r="D252" s="235"/>
    </row>
    <row r="253" spans="1:4" ht="20.100000000000001" customHeight="1">
      <c r="A253" s="236" t="s">
        <v>375</v>
      </c>
      <c r="B253" s="109">
        <f>SUM(B254:B263)</f>
        <v>21300</v>
      </c>
      <c r="C253" s="235">
        <f>SUM(C254:C263)</f>
        <v>19406</v>
      </c>
      <c r="D253" s="235">
        <f>1649+245</f>
        <v>1894</v>
      </c>
    </row>
    <row r="254" spans="1:4" ht="20.100000000000001" customHeight="1">
      <c r="A254" s="236" t="s">
        <v>228</v>
      </c>
      <c r="B254" s="109">
        <v>13387</v>
      </c>
      <c r="C254" s="235">
        <v>13387</v>
      </c>
      <c r="D254" s="235"/>
    </row>
    <row r="255" spans="1:4" ht="20.100000000000001" customHeight="1">
      <c r="A255" s="236" t="s">
        <v>229</v>
      </c>
      <c r="B255" s="109">
        <v>537</v>
      </c>
      <c r="C255" s="235">
        <v>537</v>
      </c>
      <c r="D255" s="235"/>
    </row>
    <row r="256" spans="1:4" ht="20.100000000000001" customHeight="1">
      <c r="A256" s="236" t="s">
        <v>230</v>
      </c>
      <c r="B256" s="109">
        <v>684</v>
      </c>
      <c r="C256" s="235">
        <v>684</v>
      </c>
      <c r="D256" s="235"/>
    </row>
    <row r="257" spans="1:4" ht="20.100000000000001" customHeight="1">
      <c r="A257" s="236" t="s">
        <v>269</v>
      </c>
      <c r="B257" s="109">
        <v>2041</v>
      </c>
      <c r="C257" s="235">
        <v>2041</v>
      </c>
      <c r="D257" s="235"/>
    </row>
    <row r="258" spans="1:4" ht="20.100000000000001" customHeight="1">
      <c r="A258" s="236" t="s">
        <v>376</v>
      </c>
      <c r="B258" s="109">
        <v>1018</v>
      </c>
      <c r="C258" s="235">
        <v>1018</v>
      </c>
      <c r="D258" s="235"/>
    </row>
    <row r="259" spans="1:4" ht="20.100000000000001" customHeight="1">
      <c r="A259" s="236" t="s">
        <v>377</v>
      </c>
      <c r="B259" s="109">
        <v>239</v>
      </c>
      <c r="C259" s="235">
        <v>239</v>
      </c>
      <c r="D259" s="235"/>
    </row>
    <row r="260" spans="1:4" ht="20.100000000000001" hidden="1" customHeight="1">
      <c r="A260" s="236" t="s">
        <v>378</v>
      </c>
      <c r="B260" s="109"/>
      <c r="C260" s="235"/>
      <c r="D260" s="235"/>
    </row>
    <row r="261" spans="1:4" ht="20.100000000000001" hidden="1" customHeight="1">
      <c r="A261" s="236" t="s">
        <v>379</v>
      </c>
      <c r="B261" s="109"/>
      <c r="C261" s="235"/>
      <c r="D261" s="235"/>
    </row>
    <row r="262" spans="1:4" ht="20.100000000000001" hidden="1" customHeight="1">
      <c r="A262" s="236" t="s">
        <v>237</v>
      </c>
      <c r="B262" s="109"/>
      <c r="C262" s="235"/>
      <c r="D262" s="235"/>
    </row>
    <row r="263" spans="1:4" ht="20.100000000000001" customHeight="1">
      <c r="A263" s="236" t="s">
        <v>380</v>
      </c>
      <c r="B263" s="109">
        <f>1500+1894</f>
        <v>3394</v>
      </c>
      <c r="C263" s="235">
        <v>1500</v>
      </c>
      <c r="D263" s="235">
        <f>1649+245</f>
        <v>1894</v>
      </c>
    </row>
    <row r="264" spans="1:4" ht="20.100000000000001" customHeight="1">
      <c r="A264" s="236" t="s">
        <v>381</v>
      </c>
      <c r="B264" s="109">
        <f>SUM(B265:B270)</f>
        <v>30</v>
      </c>
      <c r="C264" s="235">
        <f>SUM(C265:C270)</f>
        <v>30</v>
      </c>
      <c r="D264" s="235">
        <f>SUM(D265:D270)</f>
        <v>0</v>
      </c>
    </row>
    <row r="265" spans="1:4" ht="20.100000000000001" hidden="1" customHeight="1">
      <c r="A265" s="236" t="s">
        <v>228</v>
      </c>
      <c r="B265" s="109"/>
      <c r="C265" s="235"/>
      <c r="D265" s="235"/>
    </row>
    <row r="266" spans="1:4" ht="20.100000000000001" hidden="1" customHeight="1">
      <c r="A266" s="236" t="s">
        <v>229</v>
      </c>
      <c r="B266" s="109"/>
      <c r="C266" s="235"/>
      <c r="D266" s="235"/>
    </row>
    <row r="267" spans="1:4" ht="20.100000000000001" hidden="1" customHeight="1">
      <c r="A267" s="236" t="s">
        <v>230</v>
      </c>
      <c r="B267" s="109"/>
      <c r="C267" s="235"/>
      <c r="D267" s="235"/>
    </row>
    <row r="268" spans="1:4" ht="20.100000000000001" hidden="1" customHeight="1">
      <c r="A268" s="236" t="s">
        <v>382</v>
      </c>
      <c r="B268" s="109"/>
      <c r="C268" s="235"/>
      <c r="D268" s="235"/>
    </row>
    <row r="269" spans="1:4" ht="20.100000000000001" hidden="1" customHeight="1">
      <c r="A269" s="236" t="s">
        <v>237</v>
      </c>
      <c r="B269" s="109"/>
      <c r="C269" s="235"/>
      <c r="D269" s="235"/>
    </row>
    <row r="270" spans="1:4" ht="20.100000000000001" customHeight="1">
      <c r="A270" s="236" t="s">
        <v>383</v>
      </c>
      <c r="B270" s="109">
        <v>30</v>
      </c>
      <c r="C270" s="235">
        <v>30</v>
      </c>
      <c r="D270" s="235"/>
    </row>
    <row r="271" spans="1:4" ht="20.100000000000001" customHeight="1">
      <c r="A271" s="236" t="s">
        <v>384</v>
      </c>
      <c r="B271" s="109">
        <f>SUM(B272:B278)</f>
        <v>5460</v>
      </c>
      <c r="C271" s="235">
        <f>SUM(C272:C278)</f>
        <v>4236</v>
      </c>
      <c r="D271" s="235">
        <v>1224</v>
      </c>
    </row>
    <row r="272" spans="1:4" ht="20.100000000000001" customHeight="1">
      <c r="A272" s="236" t="s">
        <v>228</v>
      </c>
      <c r="B272" s="109">
        <v>3820</v>
      </c>
      <c r="C272" s="235">
        <v>3820</v>
      </c>
      <c r="D272" s="235"/>
    </row>
    <row r="273" spans="1:4" ht="20.100000000000001" hidden="1" customHeight="1">
      <c r="A273" s="236" t="s">
        <v>229</v>
      </c>
      <c r="B273" s="109"/>
      <c r="C273" s="235"/>
      <c r="D273" s="235"/>
    </row>
    <row r="274" spans="1:4" ht="20.100000000000001" customHeight="1">
      <c r="A274" s="236" t="s">
        <v>230</v>
      </c>
      <c r="B274" s="109">
        <v>61</v>
      </c>
      <c r="C274" s="235">
        <v>61</v>
      </c>
      <c r="D274" s="235"/>
    </row>
    <row r="275" spans="1:4" ht="20.100000000000001" hidden="1" customHeight="1">
      <c r="A275" s="236" t="s">
        <v>385</v>
      </c>
      <c r="B275" s="109"/>
      <c r="C275" s="235"/>
      <c r="D275" s="235"/>
    </row>
    <row r="276" spans="1:4" ht="20.100000000000001" hidden="1" customHeight="1">
      <c r="A276" s="236" t="s">
        <v>386</v>
      </c>
      <c r="B276" s="109"/>
      <c r="C276" s="235"/>
      <c r="D276" s="235"/>
    </row>
    <row r="277" spans="1:4" ht="20.100000000000001" hidden="1" customHeight="1">
      <c r="A277" s="236" t="s">
        <v>237</v>
      </c>
      <c r="B277" s="109"/>
      <c r="C277" s="235"/>
      <c r="D277" s="235"/>
    </row>
    <row r="278" spans="1:4" ht="20.100000000000001" customHeight="1">
      <c r="A278" s="236" t="s">
        <v>387</v>
      </c>
      <c r="B278" s="109">
        <f>355+1224</f>
        <v>1579</v>
      </c>
      <c r="C278" s="235">
        <v>355</v>
      </c>
      <c r="D278" s="235">
        <v>1224</v>
      </c>
    </row>
    <row r="279" spans="1:4" ht="20.100000000000001" customHeight="1">
      <c r="A279" s="236" t="s">
        <v>388</v>
      </c>
      <c r="B279" s="109">
        <f>SUM(B280:B287)</f>
        <v>8093</v>
      </c>
      <c r="C279" s="235">
        <f>SUM(C280:C287)</f>
        <v>6282</v>
      </c>
      <c r="D279" s="235">
        <v>1811</v>
      </c>
    </row>
    <row r="280" spans="1:4" ht="20.100000000000001" customHeight="1">
      <c r="A280" s="236" t="s">
        <v>228</v>
      </c>
      <c r="B280" s="109">
        <v>5643</v>
      </c>
      <c r="C280" s="235">
        <v>5643</v>
      </c>
      <c r="D280" s="235"/>
    </row>
    <row r="281" spans="1:4" ht="20.100000000000001" hidden="1" customHeight="1">
      <c r="A281" s="236" t="s">
        <v>229</v>
      </c>
      <c r="B281" s="109"/>
      <c r="C281" s="235"/>
      <c r="D281" s="235"/>
    </row>
    <row r="282" spans="1:4" ht="20.100000000000001" hidden="1" customHeight="1">
      <c r="A282" s="236" t="s">
        <v>230</v>
      </c>
      <c r="B282" s="109"/>
      <c r="C282" s="235"/>
      <c r="D282" s="235"/>
    </row>
    <row r="283" spans="1:4" ht="20.100000000000001" customHeight="1">
      <c r="A283" s="236" t="s">
        <v>389</v>
      </c>
      <c r="B283" s="109">
        <v>7</v>
      </c>
      <c r="C283" s="235">
        <v>7</v>
      </c>
      <c r="D283" s="235"/>
    </row>
    <row r="284" spans="1:4" ht="20.100000000000001" hidden="1" customHeight="1">
      <c r="A284" s="236" t="s">
        <v>390</v>
      </c>
      <c r="B284" s="109"/>
      <c r="C284" s="235"/>
      <c r="D284" s="235"/>
    </row>
    <row r="285" spans="1:4" ht="20.100000000000001" customHeight="1">
      <c r="A285" s="236" t="s">
        <v>391</v>
      </c>
      <c r="B285" s="109">
        <v>150</v>
      </c>
      <c r="C285" s="235">
        <v>150</v>
      </c>
      <c r="D285" s="235"/>
    </row>
    <row r="286" spans="1:4" ht="20.100000000000001" hidden="1" customHeight="1">
      <c r="A286" s="236" t="s">
        <v>237</v>
      </c>
      <c r="B286" s="109"/>
      <c r="C286" s="235"/>
      <c r="D286" s="235"/>
    </row>
    <row r="287" spans="1:4" ht="20.100000000000001" customHeight="1">
      <c r="A287" s="236" t="s">
        <v>392</v>
      </c>
      <c r="B287" s="109">
        <f>482+1811</f>
        <v>2293</v>
      </c>
      <c r="C287" s="235">
        <v>482</v>
      </c>
      <c r="D287" s="235">
        <v>1811</v>
      </c>
    </row>
    <row r="288" spans="1:4" ht="20.100000000000001" customHeight="1">
      <c r="A288" s="236" t="s">
        <v>393</v>
      </c>
      <c r="B288" s="109">
        <f>SUM(B289:B301)</f>
        <v>1526</v>
      </c>
      <c r="C288" s="235">
        <f>SUM(C289:C301)</f>
        <v>1302</v>
      </c>
      <c r="D288" s="235">
        <v>224</v>
      </c>
    </row>
    <row r="289" spans="1:4" ht="20.100000000000001" customHeight="1">
      <c r="A289" s="236" t="s">
        <v>228</v>
      </c>
      <c r="B289" s="109">
        <v>609</v>
      </c>
      <c r="C289" s="235">
        <v>609</v>
      </c>
      <c r="D289" s="235"/>
    </row>
    <row r="290" spans="1:4" ht="20.100000000000001" hidden="1" customHeight="1">
      <c r="A290" s="236" t="s">
        <v>229</v>
      </c>
      <c r="B290" s="109"/>
      <c r="C290" s="235"/>
      <c r="D290" s="235"/>
    </row>
    <row r="291" spans="1:4" ht="20.100000000000001" hidden="1" customHeight="1">
      <c r="A291" s="236" t="s">
        <v>230</v>
      </c>
      <c r="B291" s="109"/>
      <c r="C291" s="235"/>
      <c r="D291" s="235"/>
    </row>
    <row r="292" spans="1:4" ht="20.100000000000001" customHeight="1">
      <c r="A292" s="236" t="s">
        <v>394</v>
      </c>
      <c r="B292" s="109">
        <v>4</v>
      </c>
      <c r="C292" s="235">
        <v>4</v>
      </c>
      <c r="D292" s="235"/>
    </row>
    <row r="293" spans="1:4" ht="20.100000000000001" customHeight="1">
      <c r="A293" s="236" t="s">
        <v>395</v>
      </c>
      <c r="B293" s="109">
        <v>60</v>
      </c>
      <c r="C293" s="235">
        <v>60</v>
      </c>
      <c r="D293" s="235"/>
    </row>
    <row r="294" spans="1:4" ht="20.100000000000001" customHeight="1">
      <c r="A294" s="236" t="s">
        <v>396</v>
      </c>
      <c r="B294" s="109">
        <v>20</v>
      </c>
      <c r="C294" s="235">
        <v>20</v>
      </c>
      <c r="D294" s="235"/>
    </row>
    <row r="295" spans="1:4" ht="20.100000000000001" customHeight="1">
      <c r="A295" s="236" t="s">
        <v>397</v>
      </c>
      <c r="B295" s="109">
        <v>69</v>
      </c>
      <c r="C295" s="235">
        <v>69</v>
      </c>
      <c r="D295" s="235"/>
    </row>
    <row r="296" spans="1:4" ht="20.100000000000001" hidden="1" customHeight="1">
      <c r="A296" s="236" t="s">
        <v>398</v>
      </c>
      <c r="B296" s="109"/>
      <c r="C296" s="235"/>
      <c r="D296" s="235"/>
    </row>
    <row r="297" spans="1:4" ht="20.100000000000001" customHeight="1">
      <c r="A297" s="236" t="s">
        <v>399</v>
      </c>
      <c r="B297" s="109">
        <v>5</v>
      </c>
      <c r="C297" s="235">
        <v>5</v>
      </c>
      <c r="D297" s="235"/>
    </row>
    <row r="298" spans="1:4" ht="20.100000000000001" customHeight="1">
      <c r="A298" s="236" t="s">
        <v>400</v>
      </c>
      <c r="B298" s="109">
        <v>24</v>
      </c>
      <c r="C298" s="235">
        <v>24</v>
      </c>
      <c r="D298" s="235"/>
    </row>
    <row r="299" spans="1:4" ht="20.100000000000001" customHeight="1">
      <c r="A299" s="236" t="s">
        <v>269</v>
      </c>
      <c r="B299" s="109">
        <v>100</v>
      </c>
      <c r="C299" s="235">
        <v>100</v>
      </c>
      <c r="D299" s="235"/>
    </row>
    <row r="300" spans="1:4" ht="20.100000000000001" customHeight="1">
      <c r="A300" s="236" t="s">
        <v>237</v>
      </c>
      <c r="B300" s="109">
        <v>55</v>
      </c>
      <c r="C300" s="235">
        <v>55</v>
      </c>
      <c r="D300" s="235"/>
    </row>
    <row r="301" spans="1:4" ht="20.100000000000001" customHeight="1">
      <c r="A301" s="236" t="s">
        <v>401</v>
      </c>
      <c r="B301" s="109">
        <f>356+224</f>
        <v>580</v>
      </c>
      <c r="C301" s="235">
        <v>356</v>
      </c>
      <c r="D301" s="235">
        <v>224</v>
      </c>
    </row>
    <row r="302" spans="1:4" ht="20.100000000000001" hidden="1" customHeight="1">
      <c r="A302" s="236" t="s">
        <v>402</v>
      </c>
      <c r="B302" s="109">
        <f>SUM(B303:B311)</f>
        <v>0</v>
      </c>
      <c r="C302" s="235">
        <f>SUM(C303:C311)</f>
        <v>0</v>
      </c>
      <c r="D302" s="235">
        <f>SUM(D303:D311)</f>
        <v>0</v>
      </c>
    </row>
    <row r="303" spans="1:4" ht="20.100000000000001" hidden="1" customHeight="1">
      <c r="A303" s="236" t="s">
        <v>228</v>
      </c>
      <c r="B303" s="109"/>
      <c r="C303" s="235"/>
      <c r="D303" s="235"/>
    </row>
    <row r="304" spans="1:4" ht="20.100000000000001" hidden="1" customHeight="1">
      <c r="A304" s="236" t="s">
        <v>229</v>
      </c>
      <c r="B304" s="109"/>
      <c r="C304" s="235"/>
      <c r="D304" s="235"/>
    </row>
    <row r="305" spans="1:4" ht="20.100000000000001" hidden="1" customHeight="1">
      <c r="A305" s="236" t="s">
        <v>230</v>
      </c>
      <c r="B305" s="109"/>
      <c r="C305" s="235"/>
      <c r="D305" s="235"/>
    </row>
    <row r="306" spans="1:4" ht="20.100000000000001" hidden="1" customHeight="1">
      <c r="A306" s="236" t="s">
        <v>403</v>
      </c>
      <c r="B306" s="109"/>
      <c r="C306" s="235"/>
      <c r="D306" s="235"/>
    </row>
    <row r="307" spans="1:4" ht="20.100000000000001" hidden="1" customHeight="1">
      <c r="A307" s="236" t="s">
        <v>404</v>
      </c>
      <c r="B307" s="109"/>
      <c r="C307" s="235"/>
      <c r="D307" s="235"/>
    </row>
    <row r="308" spans="1:4" ht="20.100000000000001" hidden="1" customHeight="1">
      <c r="A308" s="236" t="s">
        <v>405</v>
      </c>
      <c r="B308" s="109"/>
      <c r="C308" s="235"/>
      <c r="D308" s="235"/>
    </row>
    <row r="309" spans="1:4" ht="20.100000000000001" hidden="1" customHeight="1">
      <c r="A309" s="236" t="s">
        <v>269</v>
      </c>
      <c r="B309" s="109"/>
      <c r="C309" s="235"/>
      <c r="D309" s="235"/>
    </row>
    <row r="310" spans="1:4" ht="20.100000000000001" hidden="1" customHeight="1">
      <c r="A310" s="236" t="s">
        <v>237</v>
      </c>
      <c r="B310" s="109"/>
      <c r="C310" s="235"/>
      <c r="D310" s="235"/>
    </row>
    <row r="311" spans="1:4" ht="20.100000000000001" hidden="1" customHeight="1">
      <c r="A311" s="236" t="s">
        <v>406</v>
      </c>
      <c r="B311" s="109"/>
      <c r="C311" s="235"/>
      <c r="D311" s="235"/>
    </row>
    <row r="312" spans="1:4" ht="20.100000000000001" hidden="1" customHeight="1">
      <c r="A312" s="236" t="s">
        <v>407</v>
      </c>
      <c r="B312" s="109">
        <f>SUM(B313:B321)</f>
        <v>0</v>
      </c>
      <c r="C312" s="235">
        <f>SUM(C313:C321)</f>
        <v>0</v>
      </c>
      <c r="D312" s="235">
        <f>SUM(D313:D321)</f>
        <v>0</v>
      </c>
    </row>
    <row r="313" spans="1:4" ht="20.100000000000001" hidden="1" customHeight="1">
      <c r="A313" s="236" t="s">
        <v>228</v>
      </c>
      <c r="B313" s="109"/>
      <c r="C313" s="235"/>
      <c r="D313" s="235"/>
    </row>
    <row r="314" spans="1:4" ht="20.100000000000001" hidden="1" customHeight="1">
      <c r="A314" s="236" t="s">
        <v>229</v>
      </c>
      <c r="B314" s="109"/>
      <c r="C314" s="235"/>
      <c r="D314" s="235"/>
    </row>
    <row r="315" spans="1:4" ht="20.100000000000001" hidden="1" customHeight="1">
      <c r="A315" s="236" t="s">
        <v>230</v>
      </c>
      <c r="B315" s="109"/>
      <c r="C315" s="235"/>
      <c r="D315" s="235"/>
    </row>
    <row r="316" spans="1:4" ht="20.100000000000001" hidden="1" customHeight="1">
      <c r="A316" s="236" t="s">
        <v>408</v>
      </c>
      <c r="B316" s="109"/>
      <c r="C316" s="235"/>
      <c r="D316" s="235"/>
    </row>
    <row r="317" spans="1:4" ht="20.100000000000001" hidden="1" customHeight="1">
      <c r="A317" s="236" t="s">
        <v>409</v>
      </c>
      <c r="B317" s="109"/>
      <c r="C317" s="235"/>
      <c r="D317" s="235"/>
    </row>
    <row r="318" spans="1:4" ht="20.100000000000001" hidden="1" customHeight="1">
      <c r="A318" s="236" t="s">
        <v>410</v>
      </c>
      <c r="B318" s="109"/>
      <c r="C318" s="235"/>
      <c r="D318" s="235"/>
    </row>
    <row r="319" spans="1:4" ht="20.100000000000001" hidden="1" customHeight="1">
      <c r="A319" s="236" t="s">
        <v>269</v>
      </c>
      <c r="B319" s="109"/>
      <c r="C319" s="235"/>
      <c r="D319" s="235"/>
    </row>
    <row r="320" spans="1:4" ht="20.100000000000001" hidden="1" customHeight="1">
      <c r="A320" s="236" t="s">
        <v>237</v>
      </c>
      <c r="B320" s="109"/>
      <c r="C320" s="235"/>
      <c r="D320" s="235"/>
    </row>
    <row r="321" spans="1:4" ht="20.100000000000001" hidden="1" customHeight="1">
      <c r="A321" s="236" t="s">
        <v>411</v>
      </c>
      <c r="B321" s="109"/>
      <c r="C321" s="235"/>
      <c r="D321" s="235"/>
    </row>
    <row r="322" spans="1:4" ht="20.100000000000001" hidden="1" customHeight="1">
      <c r="A322" s="236" t="s">
        <v>412</v>
      </c>
      <c r="B322" s="109">
        <f>SUM(B323:B329)</f>
        <v>0</v>
      </c>
      <c r="C322" s="235">
        <f>SUM(C323:C329)</f>
        <v>0</v>
      </c>
      <c r="D322" s="235">
        <f>SUM(D323:D329)</f>
        <v>0</v>
      </c>
    </row>
    <row r="323" spans="1:4" ht="20.100000000000001" hidden="1" customHeight="1">
      <c r="A323" s="236" t="s">
        <v>228</v>
      </c>
      <c r="B323" s="109"/>
      <c r="C323" s="235"/>
      <c r="D323" s="235"/>
    </row>
    <row r="324" spans="1:4" ht="20.100000000000001" hidden="1" customHeight="1">
      <c r="A324" s="236" t="s">
        <v>229</v>
      </c>
      <c r="B324" s="109"/>
      <c r="C324" s="235"/>
      <c r="D324" s="235"/>
    </row>
    <row r="325" spans="1:4" ht="20.100000000000001" hidden="1" customHeight="1">
      <c r="A325" s="236" t="s">
        <v>230</v>
      </c>
      <c r="B325" s="109"/>
      <c r="C325" s="235"/>
      <c r="D325" s="235"/>
    </row>
    <row r="326" spans="1:4" ht="20.100000000000001" hidden="1" customHeight="1">
      <c r="A326" s="236" t="s">
        <v>413</v>
      </c>
      <c r="B326" s="109"/>
      <c r="C326" s="235"/>
      <c r="D326" s="235"/>
    </row>
    <row r="327" spans="1:4" ht="20.100000000000001" hidden="1" customHeight="1">
      <c r="A327" s="236" t="s">
        <v>414</v>
      </c>
      <c r="B327" s="109"/>
      <c r="C327" s="235"/>
      <c r="D327" s="235"/>
    </row>
    <row r="328" spans="1:4" ht="20.100000000000001" hidden="1" customHeight="1">
      <c r="A328" s="236" t="s">
        <v>237</v>
      </c>
      <c r="B328" s="109"/>
      <c r="C328" s="235"/>
      <c r="D328" s="235"/>
    </row>
    <row r="329" spans="1:4" ht="20.100000000000001" hidden="1" customHeight="1">
      <c r="A329" s="236" t="s">
        <v>415</v>
      </c>
      <c r="B329" s="109"/>
      <c r="C329" s="235"/>
      <c r="D329" s="235"/>
    </row>
    <row r="330" spans="1:4" ht="20.100000000000001" hidden="1" customHeight="1">
      <c r="A330" s="236" t="s">
        <v>416</v>
      </c>
      <c r="B330" s="109">
        <f>SUM(B331:B335)</f>
        <v>0</v>
      </c>
      <c r="C330" s="235">
        <f>SUM(C331:C335)</f>
        <v>0</v>
      </c>
      <c r="D330" s="235">
        <f>SUM(D331:D335)</f>
        <v>0</v>
      </c>
    </row>
    <row r="331" spans="1:4" ht="20.100000000000001" hidden="1" customHeight="1">
      <c r="A331" s="236" t="s">
        <v>228</v>
      </c>
      <c r="B331" s="109"/>
      <c r="C331" s="235"/>
      <c r="D331" s="235"/>
    </row>
    <row r="332" spans="1:4" ht="20.100000000000001" hidden="1" customHeight="1">
      <c r="A332" s="236" t="s">
        <v>229</v>
      </c>
      <c r="B332" s="109"/>
      <c r="C332" s="235"/>
      <c r="D332" s="235"/>
    </row>
    <row r="333" spans="1:4" ht="20.100000000000001" hidden="1" customHeight="1">
      <c r="A333" s="236" t="s">
        <v>269</v>
      </c>
      <c r="B333" s="109"/>
      <c r="C333" s="235"/>
      <c r="D333" s="235"/>
    </row>
    <row r="334" spans="1:4" ht="20.100000000000001" hidden="1" customHeight="1">
      <c r="A334" s="236" t="s">
        <v>417</v>
      </c>
      <c r="B334" s="109"/>
      <c r="C334" s="235"/>
      <c r="D334" s="235"/>
    </row>
    <row r="335" spans="1:4" ht="20.100000000000001" hidden="1" customHeight="1">
      <c r="A335" s="236" t="s">
        <v>418</v>
      </c>
      <c r="B335" s="109"/>
      <c r="C335" s="235"/>
      <c r="D335" s="235"/>
    </row>
    <row r="336" spans="1:4" ht="20.100000000000001" customHeight="1">
      <c r="A336" s="236" t="s">
        <v>419</v>
      </c>
      <c r="B336" s="109">
        <f>SUM(B337:B338)</f>
        <v>1078</v>
      </c>
      <c r="C336" s="235">
        <f>SUM(C337:C338)</f>
        <v>0</v>
      </c>
      <c r="D336" s="235">
        <v>1078</v>
      </c>
    </row>
    <row r="337" spans="1:4" ht="20.100000000000001" customHeight="1">
      <c r="A337" s="236" t="s">
        <v>420</v>
      </c>
      <c r="B337" s="109"/>
      <c r="C337" s="235"/>
      <c r="D337" s="235"/>
    </row>
    <row r="338" spans="1:4" ht="20.100000000000001" customHeight="1">
      <c r="A338" s="236" t="s">
        <v>421</v>
      </c>
      <c r="B338" s="109">
        <v>1078</v>
      </c>
      <c r="C338" s="235"/>
      <c r="D338" s="235">
        <v>1078</v>
      </c>
    </row>
    <row r="339" spans="1:4" ht="20.100000000000001" customHeight="1">
      <c r="A339" s="234" t="s">
        <v>422</v>
      </c>
      <c r="B339" s="109">
        <f>B340+B345+B352+B358+B364+B368+B372+B376+B382+B389</f>
        <v>32574</v>
      </c>
      <c r="C339" s="235">
        <f>C340+C345+C352+C358+C364+C368+C372+C376+C382+C389</f>
        <v>25904</v>
      </c>
      <c r="D339" s="235">
        <f>D340+D345+D352+D358+D364+D368+D372+D376+D382+D389</f>
        <v>6670</v>
      </c>
    </row>
    <row r="340" spans="1:4" ht="20.100000000000001" customHeight="1">
      <c r="A340" s="236" t="s">
        <v>423</v>
      </c>
      <c r="B340" s="109">
        <f>SUM(B341:B344)</f>
        <v>1029</v>
      </c>
      <c r="C340" s="235">
        <f>SUM(C341:C344)</f>
        <v>1029</v>
      </c>
      <c r="D340" s="235">
        <f>SUM(D341:D344)</f>
        <v>0</v>
      </c>
    </row>
    <row r="341" spans="1:4" ht="20.100000000000001" customHeight="1">
      <c r="A341" s="236" t="s">
        <v>228</v>
      </c>
      <c r="B341" s="109">
        <v>546</v>
      </c>
      <c r="C341" s="235">
        <v>546</v>
      </c>
      <c r="D341" s="235"/>
    </row>
    <row r="342" spans="1:4" ht="20.100000000000001" customHeight="1">
      <c r="A342" s="236" t="s">
        <v>229</v>
      </c>
      <c r="B342" s="109">
        <v>3</v>
      </c>
      <c r="C342" s="235">
        <v>3</v>
      </c>
      <c r="D342" s="235"/>
    </row>
    <row r="343" spans="1:4" ht="20.100000000000001" hidden="1" customHeight="1">
      <c r="A343" s="236" t="s">
        <v>230</v>
      </c>
      <c r="B343" s="109"/>
      <c r="C343" s="235"/>
      <c r="D343" s="235"/>
    </row>
    <row r="344" spans="1:4" ht="20.100000000000001" customHeight="1">
      <c r="A344" s="236" t="s">
        <v>424</v>
      </c>
      <c r="B344" s="109">
        <v>480</v>
      </c>
      <c r="C344" s="235">
        <v>480</v>
      </c>
      <c r="D344" s="235"/>
    </row>
    <row r="345" spans="1:4" ht="20.100000000000001" customHeight="1">
      <c r="A345" s="236" t="s">
        <v>425</v>
      </c>
      <c r="B345" s="109">
        <f>SUM(B346:B351)</f>
        <v>14306</v>
      </c>
      <c r="C345" s="235">
        <f>SUM(C346:C351)</f>
        <v>11905</v>
      </c>
      <c r="D345" s="235">
        <v>2401</v>
      </c>
    </row>
    <row r="346" spans="1:4" ht="20.100000000000001" customHeight="1">
      <c r="A346" s="236" t="s">
        <v>426</v>
      </c>
      <c r="B346" s="109">
        <v>420</v>
      </c>
      <c r="C346" s="235">
        <v>420</v>
      </c>
      <c r="D346" s="235"/>
    </row>
    <row r="347" spans="1:4" ht="20.100000000000001" customHeight="1">
      <c r="A347" s="236" t="s">
        <v>427</v>
      </c>
      <c r="B347" s="109">
        <v>1208</v>
      </c>
      <c r="C347" s="235">
        <v>1208</v>
      </c>
      <c r="D347" s="235"/>
    </row>
    <row r="348" spans="1:4" ht="20.100000000000001" hidden="1" customHeight="1">
      <c r="A348" s="236" t="s">
        <v>428</v>
      </c>
      <c r="B348" s="109"/>
      <c r="C348" s="235"/>
      <c r="D348" s="235"/>
    </row>
    <row r="349" spans="1:4" ht="20.100000000000001" customHeight="1">
      <c r="A349" s="236" t="s">
        <v>429</v>
      </c>
      <c r="B349" s="109">
        <v>8464</v>
      </c>
      <c r="C349" s="235">
        <v>8464</v>
      </c>
      <c r="D349" s="235"/>
    </row>
    <row r="350" spans="1:4" ht="20.100000000000001" customHeight="1">
      <c r="A350" s="236" t="s">
        <v>430</v>
      </c>
      <c r="B350" s="109">
        <v>100</v>
      </c>
      <c r="C350" s="235">
        <v>100</v>
      </c>
      <c r="D350" s="235"/>
    </row>
    <row r="351" spans="1:4" ht="20.100000000000001" customHeight="1">
      <c r="A351" s="236" t="s">
        <v>431</v>
      </c>
      <c r="B351" s="109">
        <f>1713+2401</f>
        <v>4114</v>
      </c>
      <c r="C351" s="235">
        <v>1713</v>
      </c>
      <c r="D351" s="235">
        <v>2401</v>
      </c>
    </row>
    <row r="352" spans="1:4" ht="20.100000000000001" customHeight="1">
      <c r="A352" s="236" t="s">
        <v>432</v>
      </c>
      <c r="B352" s="109">
        <f>SUM(B353:B357)</f>
        <v>9099</v>
      </c>
      <c r="C352" s="235">
        <f>SUM(C353:C357)</f>
        <v>7268</v>
      </c>
      <c r="D352" s="235">
        <v>1831</v>
      </c>
    </row>
    <row r="353" spans="1:4" ht="20.100000000000001" hidden="1" customHeight="1">
      <c r="A353" s="236" t="s">
        <v>433</v>
      </c>
      <c r="B353" s="109"/>
      <c r="C353" s="235"/>
      <c r="D353" s="235"/>
    </row>
    <row r="354" spans="1:4" ht="20.100000000000001" customHeight="1">
      <c r="A354" s="236" t="s">
        <v>434</v>
      </c>
      <c r="B354" s="109">
        <v>262</v>
      </c>
      <c r="C354" s="235">
        <v>262</v>
      </c>
      <c r="D354" s="235"/>
    </row>
    <row r="355" spans="1:4" ht="20.100000000000001" customHeight="1">
      <c r="A355" s="236" t="s">
        <v>435</v>
      </c>
      <c r="B355" s="109">
        <v>571</v>
      </c>
      <c r="C355" s="235">
        <v>571</v>
      </c>
      <c r="D355" s="235"/>
    </row>
    <row r="356" spans="1:4" ht="20.100000000000001" customHeight="1">
      <c r="A356" s="236" t="s">
        <v>436</v>
      </c>
      <c r="B356" s="109">
        <v>6315</v>
      </c>
      <c r="C356" s="235">
        <v>6315</v>
      </c>
      <c r="D356" s="235"/>
    </row>
    <row r="357" spans="1:4" ht="20.100000000000001" customHeight="1">
      <c r="A357" s="236" t="s">
        <v>437</v>
      </c>
      <c r="B357" s="109">
        <f>120+1831</f>
        <v>1951</v>
      </c>
      <c r="C357" s="235">
        <v>120</v>
      </c>
      <c r="D357" s="235">
        <v>1831</v>
      </c>
    </row>
    <row r="358" spans="1:4" ht="20.100000000000001" hidden="1" customHeight="1">
      <c r="A358" s="236" t="s">
        <v>438</v>
      </c>
      <c r="B358" s="109">
        <f>SUM(B359:B363)</f>
        <v>0</v>
      </c>
      <c r="C358" s="235">
        <f>SUM(C359:C363)</f>
        <v>0</v>
      </c>
      <c r="D358" s="235">
        <f>SUM(D359:D363)</f>
        <v>0</v>
      </c>
    </row>
    <row r="359" spans="1:4" ht="20.100000000000001" hidden="1" customHeight="1">
      <c r="A359" s="236" t="s">
        <v>439</v>
      </c>
      <c r="B359" s="109"/>
      <c r="C359" s="235"/>
      <c r="D359" s="235"/>
    </row>
    <row r="360" spans="1:4" ht="20.100000000000001" hidden="1" customHeight="1">
      <c r="A360" s="236" t="s">
        <v>440</v>
      </c>
      <c r="B360" s="109"/>
      <c r="C360" s="235"/>
      <c r="D360" s="235"/>
    </row>
    <row r="361" spans="1:4" ht="20.100000000000001" hidden="1" customHeight="1">
      <c r="A361" s="236" t="s">
        <v>441</v>
      </c>
      <c r="B361" s="109"/>
      <c r="C361" s="235"/>
      <c r="D361" s="235"/>
    </row>
    <row r="362" spans="1:4" ht="20.100000000000001" hidden="1" customHeight="1">
      <c r="A362" s="236" t="s">
        <v>442</v>
      </c>
      <c r="B362" s="109"/>
      <c r="C362" s="235"/>
      <c r="D362" s="235"/>
    </row>
    <row r="363" spans="1:4" ht="20.100000000000001" hidden="1" customHeight="1">
      <c r="A363" s="236" t="s">
        <v>443</v>
      </c>
      <c r="B363" s="109"/>
      <c r="C363" s="235"/>
      <c r="D363" s="235"/>
    </row>
    <row r="364" spans="1:4" ht="20.100000000000001" hidden="1" customHeight="1">
      <c r="A364" s="236" t="s">
        <v>444</v>
      </c>
      <c r="B364" s="109">
        <f>SUM(B365:B367)</f>
        <v>0</v>
      </c>
      <c r="C364" s="235">
        <f>SUM(C365:C367)</f>
        <v>0</v>
      </c>
      <c r="D364" s="235">
        <f>SUM(D365:D367)</f>
        <v>0</v>
      </c>
    </row>
    <row r="365" spans="1:4" ht="20.100000000000001" hidden="1" customHeight="1">
      <c r="A365" s="236" t="s">
        <v>445</v>
      </c>
      <c r="B365" s="109"/>
      <c r="C365" s="235"/>
      <c r="D365" s="235"/>
    </row>
    <row r="366" spans="1:4" ht="20.100000000000001" hidden="1" customHeight="1">
      <c r="A366" s="236" t="s">
        <v>446</v>
      </c>
      <c r="B366" s="109"/>
      <c r="C366" s="235"/>
      <c r="D366" s="235"/>
    </row>
    <row r="367" spans="1:4" ht="20.100000000000001" hidden="1" customHeight="1">
      <c r="A367" s="236" t="s">
        <v>447</v>
      </c>
      <c r="B367" s="109"/>
      <c r="C367" s="235"/>
      <c r="D367" s="235"/>
    </row>
    <row r="368" spans="1:4" ht="20.100000000000001" hidden="1" customHeight="1">
      <c r="A368" s="236" t="s">
        <v>448</v>
      </c>
      <c r="B368" s="109">
        <f>SUM(B369:B371)</f>
        <v>0</v>
      </c>
      <c r="C368" s="235">
        <f>SUM(C369:C371)</f>
        <v>0</v>
      </c>
      <c r="D368" s="235">
        <f>SUM(D369:D371)</f>
        <v>0</v>
      </c>
    </row>
    <row r="369" spans="1:4" ht="20.100000000000001" hidden="1" customHeight="1">
      <c r="A369" s="236" t="s">
        <v>449</v>
      </c>
      <c r="B369" s="109"/>
      <c r="C369" s="235"/>
      <c r="D369" s="235"/>
    </row>
    <row r="370" spans="1:4" ht="20.100000000000001" hidden="1" customHeight="1">
      <c r="A370" s="236" t="s">
        <v>450</v>
      </c>
      <c r="B370" s="109"/>
      <c r="C370" s="235"/>
      <c r="D370" s="235"/>
    </row>
    <row r="371" spans="1:4" ht="20.100000000000001" hidden="1" customHeight="1">
      <c r="A371" s="236" t="s">
        <v>451</v>
      </c>
      <c r="B371" s="109"/>
      <c r="C371" s="235"/>
      <c r="D371" s="235"/>
    </row>
    <row r="372" spans="1:4" ht="20.100000000000001" customHeight="1">
      <c r="A372" s="236" t="s">
        <v>452</v>
      </c>
      <c r="B372" s="109">
        <f>SUM(B373:B375)</f>
        <v>429</v>
      </c>
      <c r="C372" s="235">
        <f>SUM(C373:C375)</f>
        <v>323</v>
      </c>
      <c r="D372" s="235">
        <v>106</v>
      </c>
    </row>
    <row r="373" spans="1:4" ht="20.100000000000001" customHeight="1">
      <c r="A373" s="236" t="s">
        <v>453</v>
      </c>
      <c r="B373" s="109">
        <v>323</v>
      </c>
      <c r="C373" s="235">
        <v>323</v>
      </c>
      <c r="D373" s="235"/>
    </row>
    <row r="374" spans="1:4" ht="20.100000000000001" hidden="1" customHeight="1">
      <c r="A374" s="236" t="s">
        <v>454</v>
      </c>
      <c r="B374" s="109"/>
      <c r="C374" s="235"/>
      <c r="D374" s="235"/>
    </row>
    <row r="375" spans="1:4" ht="20.100000000000001" customHeight="1">
      <c r="A375" s="236" t="s">
        <v>455</v>
      </c>
      <c r="B375" s="109">
        <v>106</v>
      </c>
      <c r="C375" s="235"/>
      <c r="D375" s="235">
        <v>106</v>
      </c>
    </row>
    <row r="376" spans="1:4" ht="20.100000000000001" customHeight="1">
      <c r="A376" s="236" t="s">
        <v>456</v>
      </c>
      <c r="B376" s="109">
        <f>SUM(B377:B381)</f>
        <v>2379</v>
      </c>
      <c r="C376" s="235">
        <f>SUM(C377:C381)</f>
        <v>2379</v>
      </c>
      <c r="D376" s="235">
        <f>SUM(D377:D381)</f>
        <v>0</v>
      </c>
    </row>
    <row r="377" spans="1:4" ht="20.100000000000001" hidden="1" customHeight="1">
      <c r="A377" s="236" t="s">
        <v>457</v>
      </c>
      <c r="B377" s="109"/>
      <c r="C377" s="235"/>
      <c r="D377" s="235"/>
    </row>
    <row r="378" spans="1:4" ht="20.100000000000001" customHeight="1">
      <c r="A378" s="236" t="s">
        <v>458</v>
      </c>
      <c r="B378" s="109">
        <v>2379</v>
      </c>
      <c r="C378" s="235">
        <v>2379</v>
      </c>
      <c r="D378" s="235"/>
    </row>
    <row r="379" spans="1:4" ht="20.100000000000001" hidden="1" customHeight="1">
      <c r="A379" s="236" t="s">
        <v>459</v>
      </c>
      <c r="B379" s="109"/>
      <c r="C379" s="235"/>
      <c r="D379" s="235"/>
    </row>
    <row r="380" spans="1:4" ht="20.100000000000001" hidden="1" customHeight="1">
      <c r="A380" s="236" t="s">
        <v>460</v>
      </c>
      <c r="B380" s="109"/>
      <c r="C380" s="235"/>
      <c r="D380" s="235"/>
    </row>
    <row r="381" spans="1:4" ht="20.100000000000001" hidden="1" customHeight="1">
      <c r="A381" s="236" t="s">
        <v>461</v>
      </c>
      <c r="B381" s="109"/>
      <c r="C381" s="235"/>
      <c r="D381" s="235"/>
    </row>
    <row r="382" spans="1:4" ht="20.100000000000001" customHeight="1">
      <c r="A382" s="236" t="s">
        <v>462</v>
      </c>
      <c r="B382" s="109">
        <f>SUM(B383:B388)</f>
        <v>3000</v>
      </c>
      <c r="C382" s="235">
        <f>SUM(C383:C388)</f>
        <v>3000</v>
      </c>
      <c r="D382" s="235">
        <f>SUM(D383:D388)</f>
        <v>0</v>
      </c>
    </row>
    <row r="383" spans="1:4" ht="20.100000000000001" hidden="1" customHeight="1">
      <c r="A383" s="236" t="s">
        <v>463</v>
      </c>
      <c r="B383" s="109"/>
      <c r="C383" s="235"/>
      <c r="D383" s="235"/>
    </row>
    <row r="384" spans="1:4" ht="20.100000000000001" hidden="1" customHeight="1">
      <c r="A384" s="236" t="s">
        <v>464</v>
      </c>
      <c r="B384" s="109"/>
      <c r="C384" s="235"/>
      <c r="D384" s="235"/>
    </row>
    <row r="385" spans="1:4" ht="20.100000000000001" hidden="1" customHeight="1">
      <c r="A385" s="236" t="s">
        <v>465</v>
      </c>
      <c r="B385" s="109"/>
      <c r="C385" s="235"/>
      <c r="D385" s="235"/>
    </row>
    <row r="386" spans="1:4" ht="20.100000000000001" hidden="1" customHeight="1">
      <c r="A386" s="236" t="s">
        <v>466</v>
      </c>
      <c r="B386" s="109"/>
      <c r="C386" s="235"/>
      <c r="D386" s="235"/>
    </row>
    <row r="387" spans="1:4" ht="20.100000000000001" hidden="1" customHeight="1">
      <c r="A387" s="236" t="s">
        <v>467</v>
      </c>
      <c r="B387" s="109"/>
      <c r="C387" s="235"/>
      <c r="D387" s="235"/>
    </row>
    <row r="388" spans="1:4" ht="20.100000000000001" customHeight="1">
      <c r="A388" s="236" t="s">
        <v>468</v>
      </c>
      <c r="B388" s="109">
        <v>3000</v>
      </c>
      <c r="C388" s="235">
        <v>3000</v>
      </c>
      <c r="D388" s="235"/>
    </row>
    <row r="389" spans="1:4" ht="20.100000000000001" customHeight="1">
      <c r="A389" s="236" t="s">
        <v>469</v>
      </c>
      <c r="B389" s="109">
        <v>2332</v>
      </c>
      <c r="C389" s="235">
        <v>0</v>
      </c>
      <c r="D389" s="235">
        <v>2332</v>
      </c>
    </row>
    <row r="390" spans="1:4" ht="20.100000000000001" customHeight="1">
      <c r="A390" s="234" t="s">
        <v>470</v>
      </c>
      <c r="B390" s="109">
        <f>B391+B396+B405+B411+B416+B421+B426+B433+B437+B441</f>
        <v>1198</v>
      </c>
      <c r="C390" s="235">
        <f>C391+C396+C405+C411+C416+C421+C426+C433+C437+C441</f>
        <v>1172</v>
      </c>
      <c r="D390" s="235">
        <f>D391+D396+D405+D411+D416+D421+D426+D433+D437+D441</f>
        <v>26</v>
      </c>
    </row>
    <row r="391" spans="1:4" ht="20.100000000000001" customHeight="1">
      <c r="A391" s="236" t="s">
        <v>471</v>
      </c>
      <c r="B391" s="109">
        <f>SUM(B392:B395)</f>
        <v>470</v>
      </c>
      <c r="C391" s="235">
        <f>SUM(C392:C395)</f>
        <v>470</v>
      </c>
      <c r="D391" s="235">
        <f>SUM(D392:D395)</f>
        <v>0</v>
      </c>
    </row>
    <row r="392" spans="1:4" ht="20.100000000000001" customHeight="1">
      <c r="A392" s="236" t="s">
        <v>228</v>
      </c>
      <c r="B392" s="109">
        <v>313</v>
      </c>
      <c r="C392" s="235">
        <v>313</v>
      </c>
      <c r="D392" s="235"/>
    </row>
    <row r="393" spans="1:4" ht="20.100000000000001" hidden="1" customHeight="1">
      <c r="A393" s="236" t="s">
        <v>229</v>
      </c>
      <c r="B393" s="109"/>
      <c r="C393" s="235"/>
      <c r="D393" s="235"/>
    </row>
    <row r="394" spans="1:4" ht="20.100000000000001" hidden="1" customHeight="1">
      <c r="A394" s="236" t="s">
        <v>230</v>
      </c>
      <c r="B394" s="109"/>
      <c r="C394" s="235"/>
      <c r="D394" s="235"/>
    </row>
    <row r="395" spans="1:4" ht="20.100000000000001" customHeight="1">
      <c r="A395" s="236" t="s">
        <v>472</v>
      </c>
      <c r="B395" s="109">
        <v>157</v>
      </c>
      <c r="C395" s="235">
        <v>157</v>
      </c>
      <c r="D395" s="235"/>
    </row>
    <row r="396" spans="1:4" ht="20.100000000000001" hidden="1" customHeight="1">
      <c r="A396" s="236" t="s">
        <v>473</v>
      </c>
      <c r="B396" s="109">
        <f>SUM(B397:B404)</f>
        <v>0</v>
      </c>
      <c r="C396" s="235">
        <f>SUM(C397:C404)</f>
        <v>0</v>
      </c>
      <c r="D396" s="235">
        <f>SUM(D397:D404)</f>
        <v>0</v>
      </c>
    </row>
    <row r="397" spans="1:4" ht="20.100000000000001" hidden="1" customHeight="1">
      <c r="A397" s="236" t="s">
        <v>474</v>
      </c>
      <c r="B397" s="109"/>
      <c r="C397" s="235"/>
      <c r="D397" s="235"/>
    </row>
    <row r="398" spans="1:4" ht="20.100000000000001" hidden="1" customHeight="1">
      <c r="A398" s="236" t="s">
        <v>475</v>
      </c>
      <c r="B398" s="109"/>
      <c r="C398" s="235"/>
      <c r="D398" s="235"/>
    </row>
    <row r="399" spans="1:4" ht="20.100000000000001" hidden="1" customHeight="1">
      <c r="A399" s="236" t="s">
        <v>476</v>
      </c>
      <c r="B399" s="109"/>
      <c r="C399" s="235"/>
      <c r="D399" s="235"/>
    </row>
    <row r="400" spans="1:4" ht="20.100000000000001" hidden="1" customHeight="1">
      <c r="A400" s="236" t="s">
        <v>477</v>
      </c>
      <c r="B400" s="109"/>
      <c r="C400" s="235"/>
      <c r="D400" s="235"/>
    </row>
    <row r="401" spans="1:4" ht="20.100000000000001" hidden="1" customHeight="1">
      <c r="A401" s="236" t="s">
        <v>478</v>
      </c>
      <c r="B401" s="109"/>
      <c r="C401" s="235"/>
      <c r="D401" s="235"/>
    </row>
    <row r="402" spans="1:4" ht="20.100000000000001" hidden="1" customHeight="1">
      <c r="A402" s="236" t="s">
        <v>479</v>
      </c>
      <c r="B402" s="109"/>
      <c r="C402" s="235"/>
      <c r="D402" s="235"/>
    </row>
    <row r="403" spans="1:4" ht="20.100000000000001" hidden="1" customHeight="1">
      <c r="A403" s="236" t="s">
        <v>480</v>
      </c>
      <c r="B403" s="109"/>
      <c r="C403" s="235"/>
      <c r="D403" s="235"/>
    </row>
    <row r="404" spans="1:4" ht="20.100000000000001" hidden="1" customHeight="1">
      <c r="A404" s="236" t="s">
        <v>481</v>
      </c>
      <c r="B404" s="109"/>
      <c r="C404" s="235"/>
      <c r="D404" s="235"/>
    </row>
    <row r="405" spans="1:4" ht="20.100000000000001" customHeight="1">
      <c r="A405" s="236" t="s">
        <v>482</v>
      </c>
      <c r="B405" s="109">
        <f>SUM(B406:B410)</f>
        <v>450</v>
      </c>
      <c r="C405" s="235">
        <f>SUM(C406:C410)</f>
        <v>450</v>
      </c>
      <c r="D405" s="235">
        <f>SUM(D406:D410)</f>
        <v>0</v>
      </c>
    </row>
    <row r="406" spans="1:4" ht="20.100000000000001" hidden="1" customHeight="1">
      <c r="A406" s="236" t="s">
        <v>474</v>
      </c>
      <c r="B406" s="109"/>
      <c r="C406" s="235"/>
      <c r="D406" s="235"/>
    </row>
    <row r="407" spans="1:4" ht="20.100000000000001" hidden="1" customHeight="1">
      <c r="A407" s="236" t="s">
        <v>483</v>
      </c>
      <c r="B407" s="109"/>
      <c r="C407" s="235"/>
      <c r="D407" s="235"/>
    </row>
    <row r="408" spans="1:4" ht="20.100000000000001" hidden="1" customHeight="1">
      <c r="A408" s="236" t="s">
        <v>484</v>
      </c>
      <c r="B408" s="109"/>
      <c r="C408" s="235"/>
      <c r="D408" s="235"/>
    </row>
    <row r="409" spans="1:4" ht="20.100000000000001" hidden="1" customHeight="1">
      <c r="A409" s="236" t="s">
        <v>485</v>
      </c>
      <c r="B409" s="109"/>
      <c r="C409" s="235"/>
      <c r="D409" s="235"/>
    </row>
    <row r="410" spans="1:4" ht="20.100000000000001" customHeight="1">
      <c r="A410" s="236" t="s">
        <v>486</v>
      </c>
      <c r="B410" s="109">
        <v>450</v>
      </c>
      <c r="C410" s="235">
        <v>450</v>
      </c>
      <c r="D410" s="235"/>
    </row>
    <row r="411" spans="1:4" ht="20.100000000000001" customHeight="1">
      <c r="A411" s="236" t="s">
        <v>487</v>
      </c>
      <c r="B411" s="109">
        <f>SUM(B412:B415)</f>
        <v>162</v>
      </c>
      <c r="C411" s="235">
        <f>SUM(C412:C415)</f>
        <v>162</v>
      </c>
      <c r="D411" s="235">
        <f>SUM(D412:D415)</f>
        <v>0</v>
      </c>
    </row>
    <row r="412" spans="1:4" ht="20.100000000000001" customHeight="1">
      <c r="A412" s="236" t="s">
        <v>474</v>
      </c>
      <c r="B412" s="109">
        <v>117</v>
      </c>
      <c r="C412" s="235">
        <v>117</v>
      </c>
      <c r="D412" s="235"/>
    </row>
    <row r="413" spans="1:4" ht="20.100000000000001" hidden="1" customHeight="1">
      <c r="A413" s="236" t="s">
        <v>488</v>
      </c>
      <c r="B413" s="109"/>
      <c r="C413" s="235"/>
      <c r="D413" s="235"/>
    </row>
    <row r="414" spans="1:4" ht="20.100000000000001" hidden="1" customHeight="1">
      <c r="A414" s="236" t="s">
        <v>489</v>
      </c>
      <c r="B414" s="109"/>
      <c r="C414" s="235"/>
      <c r="D414" s="235"/>
    </row>
    <row r="415" spans="1:4" ht="20.100000000000001" customHeight="1">
      <c r="A415" s="236" t="s">
        <v>490</v>
      </c>
      <c r="B415" s="109">
        <v>45</v>
      </c>
      <c r="C415" s="235">
        <v>45</v>
      </c>
      <c r="D415" s="235"/>
    </row>
    <row r="416" spans="1:4" ht="20.100000000000001" hidden="1" customHeight="1">
      <c r="A416" s="236" t="s">
        <v>491</v>
      </c>
      <c r="B416" s="109">
        <f>SUM(B417:B420)</f>
        <v>0</v>
      </c>
      <c r="C416" s="235">
        <f>SUM(C417:C420)</f>
        <v>0</v>
      </c>
      <c r="D416" s="235">
        <f>SUM(D417:D420)</f>
        <v>0</v>
      </c>
    </row>
    <row r="417" spans="1:4" ht="20.100000000000001" hidden="1" customHeight="1">
      <c r="A417" s="236" t="s">
        <v>474</v>
      </c>
      <c r="B417" s="109"/>
      <c r="C417" s="235"/>
      <c r="D417" s="235"/>
    </row>
    <row r="418" spans="1:4" ht="20.100000000000001" hidden="1" customHeight="1">
      <c r="A418" s="236" t="s">
        <v>492</v>
      </c>
      <c r="B418" s="109"/>
      <c r="C418" s="235"/>
      <c r="D418" s="235"/>
    </row>
    <row r="419" spans="1:4" ht="20.100000000000001" hidden="1" customHeight="1">
      <c r="A419" s="236" t="s">
        <v>493</v>
      </c>
      <c r="B419" s="109"/>
      <c r="C419" s="235"/>
      <c r="D419" s="235"/>
    </row>
    <row r="420" spans="1:4" ht="20.100000000000001" hidden="1" customHeight="1">
      <c r="A420" s="236" t="s">
        <v>494</v>
      </c>
      <c r="B420" s="109"/>
      <c r="C420" s="235"/>
      <c r="D420" s="235"/>
    </row>
    <row r="421" spans="1:4" ht="20.100000000000001" hidden="1" customHeight="1">
      <c r="A421" s="236" t="s">
        <v>495</v>
      </c>
      <c r="B421" s="109">
        <f>SUM(B422:B425)</f>
        <v>0</v>
      </c>
      <c r="C421" s="235">
        <f>SUM(C422:C425)</f>
        <v>0</v>
      </c>
      <c r="D421" s="235">
        <f>SUM(D422:D425)</f>
        <v>0</v>
      </c>
    </row>
    <row r="422" spans="1:4" ht="20.100000000000001" hidden="1" customHeight="1">
      <c r="A422" s="236" t="s">
        <v>496</v>
      </c>
      <c r="B422" s="109"/>
      <c r="C422" s="235"/>
      <c r="D422" s="235"/>
    </row>
    <row r="423" spans="1:4" ht="20.100000000000001" hidden="1" customHeight="1">
      <c r="A423" s="236" t="s">
        <v>497</v>
      </c>
      <c r="B423" s="109"/>
      <c r="C423" s="235"/>
      <c r="D423" s="235"/>
    </row>
    <row r="424" spans="1:4" ht="20.100000000000001" hidden="1" customHeight="1">
      <c r="A424" s="236" t="s">
        <v>498</v>
      </c>
      <c r="B424" s="109"/>
      <c r="C424" s="235"/>
      <c r="D424" s="235"/>
    </row>
    <row r="425" spans="1:4" ht="20.100000000000001" hidden="1" customHeight="1">
      <c r="A425" s="236" t="s">
        <v>499</v>
      </c>
      <c r="B425" s="109"/>
      <c r="C425" s="235"/>
      <c r="D425" s="235"/>
    </row>
    <row r="426" spans="1:4" ht="20.100000000000001" customHeight="1">
      <c r="A426" s="236" t="s">
        <v>500</v>
      </c>
      <c r="B426" s="109">
        <f>SUM(B427:B432)</f>
        <v>116</v>
      </c>
      <c r="C426" s="235">
        <f>SUM(C427:C432)</f>
        <v>90</v>
      </c>
      <c r="D426" s="235">
        <v>26</v>
      </c>
    </row>
    <row r="427" spans="1:4" ht="20.100000000000001" hidden="1" customHeight="1">
      <c r="A427" s="236" t="s">
        <v>474</v>
      </c>
      <c r="B427" s="109"/>
      <c r="C427" s="235"/>
      <c r="D427" s="235"/>
    </row>
    <row r="428" spans="1:4" ht="20.100000000000001" customHeight="1">
      <c r="A428" s="236" t="s">
        <v>501</v>
      </c>
      <c r="B428" s="109">
        <v>90</v>
      </c>
      <c r="C428" s="235">
        <v>90</v>
      </c>
      <c r="D428" s="235"/>
    </row>
    <row r="429" spans="1:4" ht="20.100000000000001" hidden="1" customHeight="1">
      <c r="A429" s="236" t="s">
        <v>502</v>
      </c>
      <c r="B429" s="109"/>
      <c r="C429" s="235"/>
      <c r="D429" s="235"/>
    </row>
    <row r="430" spans="1:4" ht="20.100000000000001" hidden="1" customHeight="1">
      <c r="A430" s="236" t="s">
        <v>503</v>
      </c>
      <c r="B430" s="109"/>
      <c r="C430" s="235"/>
      <c r="D430" s="235"/>
    </row>
    <row r="431" spans="1:4" ht="20.100000000000001" hidden="1" customHeight="1">
      <c r="A431" s="236" t="s">
        <v>504</v>
      </c>
      <c r="B431" s="109"/>
      <c r="C431" s="235"/>
      <c r="D431" s="235"/>
    </row>
    <row r="432" spans="1:4" ht="20.100000000000001" customHeight="1">
      <c r="A432" s="236" t="s">
        <v>505</v>
      </c>
      <c r="B432" s="109">
        <v>26</v>
      </c>
      <c r="C432" s="235"/>
      <c r="D432" s="235">
        <v>26</v>
      </c>
    </row>
    <row r="433" spans="1:4" ht="20.100000000000001" hidden="1" customHeight="1">
      <c r="A433" s="236" t="s">
        <v>506</v>
      </c>
      <c r="B433" s="109">
        <f>SUM(B434:B436)</f>
        <v>0</v>
      </c>
      <c r="C433" s="235">
        <f>SUM(C434:C436)</f>
        <v>0</v>
      </c>
      <c r="D433" s="235">
        <f>SUM(D434:D436)</f>
        <v>0</v>
      </c>
    </row>
    <row r="434" spans="1:4" ht="20.100000000000001" hidden="1" customHeight="1">
      <c r="A434" s="236" t="s">
        <v>507</v>
      </c>
      <c r="B434" s="109"/>
      <c r="C434" s="235"/>
      <c r="D434" s="235"/>
    </row>
    <row r="435" spans="1:4" ht="20.100000000000001" hidden="1" customHeight="1">
      <c r="A435" s="236" t="s">
        <v>508</v>
      </c>
      <c r="B435" s="109"/>
      <c r="C435" s="235"/>
      <c r="D435" s="235"/>
    </row>
    <row r="436" spans="1:4" ht="20.100000000000001" hidden="1" customHeight="1">
      <c r="A436" s="236" t="s">
        <v>509</v>
      </c>
      <c r="B436" s="109"/>
      <c r="C436" s="235"/>
      <c r="D436" s="235"/>
    </row>
    <row r="437" spans="1:4" ht="20.100000000000001" hidden="1" customHeight="1">
      <c r="A437" s="236" t="s">
        <v>510</v>
      </c>
      <c r="B437" s="109">
        <f>SUM(B438:B440)</f>
        <v>0</v>
      </c>
      <c r="C437" s="235">
        <f>SUM(C438:C440)</f>
        <v>0</v>
      </c>
      <c r="D437" s="235">
        <f>SUM(D438:D440)</f>
        <v>0</v>
      </c>
    </row>
    <row r="438" spans="1:4" ht="20.100000000000001" hidden="1" customHeight="1">
      <c r="A438" s="236" t="s">
        <v>511</v>
      </c>
      <c r="B438" s="109"/>
      <c r="C438" s="235"/>
      <c r="D438" s="235"/>
    </row>
    <row r="439" spans="1:4" ht="20.100000000000001" hidden="1" customHeight="1">
      <c r="A439" s="236" t="s">
        <v>512</v>
      </c>
      <c r="B439" s="109"/>
      <c r="C439" s="235"/>
      <c r="D439" s="235"/>
    </row>
    <row r="440" spans="1:4" ht="20.100000000000001" hidden="1" customHeight="1">
      <c r="A440" s="236" t="s">
        <v>513</v>
      </c>
      <c r="B440" s="109"/>
      <c r="C440" s="235"/>
      <c r="D440" s="235"/>
    </row>
    <row r="441" spans="1:4" ht="20.100000000000001" hidden="1" customHeight="1">
      <c r="A441" s="236" t="s">
        <v>514</v>
      </c>
      <c r="B441" s="109">
        <f>SUM(B442:B445)</f>
        <v>0</v>
      </c>
      <c r="C441" s="235">
        <f>SUM(C442:C445)</f>
        <v>0</v>
      </c>
      <c r="D441" s="235">
        <f>SUM(D442:D445)</f>
        <v>0</v>
      </c>
    </row>
    <row r="442" spans="1:4" ht="20.100000000000001" hidden="1" customHeight="1">
      <c r="A442" s="236" t="s">
        <v>515</v>
      </c>
      <c r="B442" s="109"/>
      <c r="C442" s="235"/>
      <c r="D442" s="235"/>
    </row>
    <row r="443" spans="1:4" ht="20.100000000000001" hidden="1" customHeight="1">
      <c r="A443" s="236" t="s">
        <v>516</v>
      </c>
      <c r="B443" s="109"/>
      <c r="C443" s="235"/>
      <c r="D443" s="235"/>
    </row>
    <row r="444" spans="1:4" ht="20.100000000000001" hidden="1" customHeight="1">
      <c r="A444" s="236" t="s">
        <v>517</v>
      </c>
      <c r="B444" s="109"/>
      <c r="C444" s="235"/>
      <c r="D444" s="235"/>
    </row>
    <row r="445" spans="1:4" ht="20.100000000000001" hidden="1" customHeight="1">
      <c r="A445" s="236" t="s">
        <v>518</v>
      </c>
      <c r="B445" s="109"/>
      <c r="C445" s="235"/>
      <c r="D445" s="235"/>
    </row>
    <row r="446" spans="1:4" ht="20.100000000000001" customHeight="1">
      <c r="A446" s="234" t="s">
        <v>519</v>
      </c>
      <c r="B446" s="109">
        <f>B447+B463+B471+B482+B491+B499</f>
        <v>29154</v>
      </c>
      <c r="C446" s="235">
        <f>C447+C463+C471+C482+C491+C499</f>
        <v>22669</v>
      </c>
      <c r="D446" s="235">
        <f>D447+D463+D471+D482+D491+D499</f>
        <v>6485</v>
      </c>
    </row>
    <row r="447" spans="1:4" ht="20.100000000000001" customHeight="1">
      <c r="A447" s="236" t="s">
        <v>520</v>
      </c>
      <c r="B447" s="109">
        <f>SUM(B448:B462)</f>
        <v>9895</v>
      </c>
      <c r="C447" s="235">
        <f>SUM(C448:C462)</f>
        <v>9370</v>
      </c>
      <c r="D447" s="235">
        <v>525</v>
      </c>
    </row>
    <row r="448" spans="1:4" ht="20.100000000000001" customHeight="1">
      <c r="A448" s="236" t="s">
        <v>228</v>
      </c>
      <c r="B448" s="109">
        <v>451</v>
      </c>
      <c r="C448" s="235">
        <v>451</v>
      </c>
      <c r="D448" s="235"/>
    </row>
    <row r="449" spans="1:4" ht="20.100000000000001" hidden="1" customHeight="1">
      <c r="A449" s="236" t="s">
        <v>229</v>
      </c>
      <c r="B449" s="109"/>
      <c r="C449" s="235"/>
      <c r="D449" s="235"/>
    </row>
    <row r="450" spans="1:4" ht="20.100000000000001" hidden="1" customHeight="1">
      <c r="A450" s="236" t="s">
        <v>230</v>
      </c>
      <c r="B450" s="109"/>
      <c r="C450" s="235"/>
      <c r="D450" s="235"/>
    </row>
    <row r="451" spans="1:4" ht="20.100000000000001" customHeight="1">
      <c r="A451" s="236" t="s">
        <v>521</v>
      </c>
      <c r="B451" s="109">
        <v>894</v>
      </c>
      <c r="C451" s="235">
        <v>894</v>
      </c>
      <c r="D451" s="235"/>
    </row>
    <row r="452" spans="1:4" ht="20.100000000000001" hidden="1" customHeight="1">
      <c r="A452" s="236" t="s">
        <v>522</v>
      </c>
      <c r="B452" s="109"/>
      <c r="C452" s="235"/>
      <c r="D452" s="235"/>
    </row>
    <row r="453" spans="1:4" ht="20.100000000000001" customHeight="1">
      <c r="A453" s="236" t="s">
        <v>523</v>
      </c>
      <c r="B453" s="109">
        <v>1500</v>
      </c>
      <c r="C453" s="235">
        <v>1500</v>
      </c>
      <c r="D453" s="235"/>
    </row>
    <row r="454" spans="1:4" ht="20.100000000000001" customHeight="1">
      <c r="A454" s="236" t="s">
        <v>524</v>
      </c>
      <c r="B454" s="109">
        <v>396</v>
      </c>
      <c r="C454" s="235">
        <v>396</v>
      </c>
      <c r="D454" s="235"/>
    </row>
    <row r="455" spans="1:4" ht="20.100000000000001" customHeight="1">
      <c r="A455" s="236" t="s">
        <v>525</v>
      </c>
      <c r="B455" s="109">
        <v>110</v>
      </c>
      <c r="C455" s="235">
        <v>110</v>
      </c>
      <c r="D455" s="235"/>
    </row>
    <row r="456" spans="1:4" ht="20.100000000000001" customHeight="1">
      <c r="A456" s="236" t="s">
        <v>526</v>
      </c>
      <c r="B456" s="109">
        <v>388</v>
      </c>
      <c r="C456" s="235">
        <v>388</v>
      </c>
      <c r="D456" s="235"/>
    </row>
    <row r="457" spans="1:4" ht="20.100000000000001" hidden="1" customHeight="1">
      <c r="A457" s="236" t="s">
        <v>527</v>
      </c>
      <c r="B457" s="109"/>
      <c r="C457" s="235"/>
      <c r="D457" s="235"/>
    </row>
    <row r="458" spans="1:4" ht="20.100000000000001" customHeight="1">
      <c r="A458" s="236" t="s">
        <v>528</v>
      </c>
      <c r="B458" s="109">
        <v>105</v>
      </c>
      <c r="C458" s="235">
        <v>105</v>
      </c>
      <c r="D458" s="235"/>
    </row>
    <row r="459" spans="1:4" ht="20.100000000000001" customHeight="1">
      <c r="A459" s="236" t="s">
        <v>529</v>
      </c>
      <c r="B459" s="109">
        <v>166</v>
      </c>
      <c r="C459" s="235">
        <v>166</v>
      </c>
      <c r="D459" s="235"/>
    </row>
    <row r="460" spans="1:4" ht="18" customHeight="1">
      <c r="A460" s="236" t="s">
        <v>530</v>
      </c>
      <c r="B460" s="109">
        <v>680</v>
      </c>
      <c r="C460" s="235">
        <v>680</v>
      </c>
      <c r="D460" s="235"/>
    </row>
    <row r="461" spans="1:4" ht="18" customHeight="1">
      <c r="A461" s="236" t="s">
        <v>531</v>
      </c>
      <c r="B461" s="109">
        <v>4680</v>
      </c>
      <c r="C461" s="235">
        <v>4680</v>
      </c>
      <c r="D461" s="235"/>
    </row>
    <row r="462" spans="1:4" ht="18" customHeight="1">
      <c r="A462" s="236" t="s">
        <v>532</v>
      </c>
      <c r="B462" s="109">
        <v>525</v>
      </c>
      <c r="C462" s="235"/>
      <c r="D462" s="235">
        <v>525</v>
      </c>
    </row>
    <row r="463" spans="1:4" ht="20.100000000000001" customHeight="1">
      <c r="A463" s="236" t="s">
        <v>533</v>
      </c>
      <c r="B463" s="109">
        <f>SUM(B464:B470)</f>
        <v>6338</v>
      </c>
      <c r="C463" s="235">
        <f>SUM(C464:C470)</f>
        <v>4097</v>
      </c>
      <c r="D463" s="235">
        <v>2241</v>
      </c>
    </row>
    <row r="464" spans="1:4" ht="20.100000000000001" hidden="1" customHeight="1">
      <c r="A464" s="236" t="s">
        <v>228</v>
      </c>
      <c r="B464" s="109"/>
      <c r="C464" s="235"/>
      <c r="D464" s="235"/>
    </row>
    <row r="465" spans="1:4" ht="20.100000000000001" hidden="1" customHeight="1">
      <c r="A465" s="236" t="s">
        <v>229</v>
      </c>
      <c r="B465" s="109"/>
      <c r="C465" s="235"/>
      <c r="D465" s="235"/>
    </row>
    <row r="466" spans="1:4" ht="20.100000000000001" hidden="1" customHeight="1">
      <c r="A466" s="236" t="s">
        <v>230</v>
      </c>
      <c r="B466" s="109"/>
      <c r="C466" s="235"/>
      <c r="D466" s="235"/>
    </row>
    <row r="467" spans="1:4" ht="20.100000000000001" customHeight="1">
      <c r="A467" s="236" t="s">
        <v>534</v>
      </c>
      <c r="B467" s="109">
        <v>90</v>
      </c>
      <c r="C467" s="235">
        <v>90</v>
      </c>
      <c r="D467" s="235"/>
    </row>
    <row r="468" spans="1:4" ht="20.100000000000001" customHeight="1">
      <c r="A468" s="236" t="s">
        <v>535</v>
      </c>
      <c r="B468" s="109">
        <v>2041</v>
      </c>
      <c r="C468" s="235">
        <v>2041</v>
      </c>
      <c r="D468" s="235"/>
    </row>
    <row r="469" spans="1:4" ht="20.100000000000001" customHeight="1">
      <c r="A469" s="236" t="s">
        <v>536</v>
      </c>
      <c r="B469" s="109">
        <v>1966</v>
      </c>
      <c r="C469" s="235">
        <v>1966</v>
      </c>
      <c r="D469" s="235"/>
    </row>
    <row r="470" spans="1:4" ht="20.100000000000001" customHeight="1">
      <c r="A470" s="236" t="s">
        <v>537</v>
      </c>
      <c r="B470" s="109">
        <v>2241</v>
      </c>
      <c r="C470" s="235"/>
      <c r="D470" s="235">
        <v>2241</v>
      </c>
    </row>
    <row r="471" spans="1:4" ht="20.100000000000001" customHeight="1">
      <c r="A471" s="236" t="s">
        <v>538</v>
      </c>
      <c r="B471" s="109">
        <f>SUM(B472:B481)</f>
        <v>4931</v>
      </c>
      <c r="C471" s="235">
        <f>SUM(C472:C481)</f>
        <v>2431</v>
      </c>
      <c r="D471" s="235">
        <v>2500</v>
      </c>
    </row>
    <row r="472" spans="1:4" ht="20.100000000000001" customHeight="1">
      <c r="A472" s="236" t="s">
        <v>228</v>
      </c>
      <c r="B472" s="109">
        <v>115</v>
      </c>
      <c r="C472" s="235">
        <v>115</v>
      </c>
      <c r="D472" s="235"/>
    </row>
    <row r="473" spans="1:4" ht="20.100000000000001" hidden="1" customHeight="1">
      <c r="A473" s="236" t="s">
        <v>229</v>
      </c>
      <c r="B473" s="109"/>
      <c r="C473" s="235"/>
      <c r="D473" s="235"/>
    </row>
    <row r="474" spans="1:4" ht="20.100000000000001" hidden="1" customHeight="1">
      <c r="A474" s="236" t="s">
        <v>230</v>
      </c>
      <c r="B474" s="109"/>
      <c r="C474" s="235"/>
      <c r="D474" s="235"/>
    </row>
    <row r="475" spans="1:4" ht="20.100000000000001" hidden="1" customHeight="1">
      <c r="A475" s="236" t="s">
        <v>539</v>
      </c>
      <c r="B475" s="109"/>
      <c r="C475" s="235"/>
      <c r="D475" s="235"/>
    </row>
    <row r="476" spans="1:4" ht="20.100000000000001" hidden="1" customHeight="1">
      <c r="A476" s="236" t="s">
        <v>540</v>
      </c>
      <c r="B476" s="109"/>
      <c r="C476" s="235"/>
      <c r="D476" s="235"/>
    </row>
    <row r="477" spans="1:4" ht="20.100000000000001" hidden="1" customHeight="1">
      <c r="A477" s="236" t="s">
        <v>541</v>
      </c>
      <c r="B477" s="109"/>
      <c r="C477" s="235"/>
      <c r="D477" s="235"/>
    </row>
    <row r="478" spans="1:4" ht="20.100000000000001" customHeight="1">
      <c r="A478" s="236" t="s">
        <v>542</v>
      </c>
      <c r="B478" s="109">
        <v>1456</v>
      </c>
      <c r="C478" s="235">
        <v>1456</v>
      </c>
      <c r="D478" s="235"/>
    </row>
    <row r="479" spans="1:4" ht="20.100000000000001" customHeight="1">
      <c r="A479" s="236" t="s">
        <v>543</v>
      </c>
      <c r="B479" s="109">
        <v>267</v>
      </c>
      <c r="C479" s="235">
        <v>267</v>
      </c>
      <c r="D479" s="235"/>
    </row>
    <row r="480" spans="1:4" ht="20.100000000000001" hidden="1" customHeight="1">
      <c r="A480" s="236" t="s">
        <v>544</v>
      </c>
      <c r="B480" s="109"/>
      <c r="C480" s="235"/>
      <c r="D480" s="235"/>
    </row>
    <row r="481" spans="1:4" ht="20.100000000000001" customHeight="1">
      <c r="A481" s="236" t="s">
        <v>545</v>
      </c>
      <c r="B481" s="109">
        <f>593+2500</f>
        <v>3093</v>
      </c>
      <c r="C481" s="235">
        <v>593</v>
      </c>
      <c r="D481" s="235">
        <v>2500</v>
      </c>
    </row>
    <row r="482" spans="1:4" ht="20.100000000000001" customHeight="1">
      <c r="A482" s="236" t="s">
        <v>546</v>
      </c>
      <c r="B482" s="109">
        <f>SUM(B483:B490)</f>
        <v>1412</v>
      </c>
      <c r="C482" s="235">
        <f>SUM(C483:C490)</f>
        <v>1412</v>
      </c>
      <c r="D482" s="235">
        <f>SUM(D483:D490)</f>
        <v>0</v>
      </c>
    </row>
    <row r="483" spans="1:4" ht="20.100000000000001" hidden="1" customHeight="1">
      <c r="A483" s="236" t="s">
        <v>228</v>
      </c>
      <c r="B483" s="109"/>
      <c r="C483" s="235"/>
      <c r="D483" s="235"/>
    </row>
    <row r="484" spans="1:4" ht="20.100000000000001" hidden="1" customHeight="1">
      <c r="A484" s="236" t="s">
        <v>229</v>
      </c>
      <c r="B484" s="109"/>
      <c r="C484" s="235"/>
      <c r="D484" s="235"/>
    </row>
    <row r="485" spans="1:4" ht="20.100000000000001" hidden="1" customHeight="1">
      <c r="A485" s="236" t="s">
        <v>230</v>
      </c>
      <c r="B485" s="109"/>
      <c r="C485" s="235"/>
      <c r="D485" s="235"/>
    </row>
    <row r="486" spans="1:4" ht="20.100000000000001" hidden="1" customHeight="1">
      <c r="A486" s="236" t="s">
        <v>547</v>
      </c>
      <c r="B486" s="109"/>
      <c r="C486" s="235"/>
      <c r="D486" s="235"/>
    </row>
    <row r="487" spans="1:4" ht="20.100000000000001" customHeight="1">
      <c r="A487" s="236" t="s">
        <v>548</v>
      </c>
      <c r="B487" s="109">
        <v>1323</v>
      </c>
      <c r="C487" s="235">
        <v>1323</v>
      </c>
      <c r="D487" s="235"/>
    </row>
    <row r="488" spans="1:4" ht="20.100000000000001" hidden="1" customHeight="1">
      <c r="A488" s="236" t="s">
        <v>549</v>
      </c>
      <c r="B488" s="109"/>
      <c r="C488" s="235"/>
      <c r="D488" s="235"/>
    </row>
    <row r="489" spans="1:4" ht="20.100000000000001" customHeight="1">
      <c r="A489" s="236" t="s">
        <v>550</v>
      </c>
      <c r="B489" s="109">
        <v>89</v>
      </c>
      <c r="C489" s="235">
        <v>89</v>
      </c>
      <c r="D489" s="235"/>
    </row>
    <row r="490" spans="1:4" ht="20.100000000000001" hidden="1" customHeight="1">
      <c r="A490" s="236" t="s">
        <v>551</v>
      </c>
      <c r="B490" s="109"/>
      <c r="C490" s="235"/>
      <c r="D490" s="235"/>
    </row>
    <row r="491" spans="1:4" ht="20.100000000000001" customHeight="1">
      <c r="A491" s="236" t="s">
        <v>552</v>
      </c>
      <c r="B491" s="109">
        <f>SUM(B492:B498)</f>
        <v>1635</v>
      </c>
      <c r="C491" s="235">
        <f>SUM(C492:C498)</f>
        <v>1529</v>
      </c>
      <c r="D491" s="235">
        <v>106</v>
      </c>
    </row>
    <row r="492" spans="1:4" ht="20.100000000000001" hidden="1" customHeight="1">
      <c r="A492" s="236" t="s">
        <v>228</v>
      </c>
      <c r="B492" s="109"/>
      <c r="C492" s="235"/>
      <c r="D492" s="235"/>
    </row>
    <row r="493" spans="1:4" ht="20.100000000000001" hidden="1" customHeight="1">
      <c r="A493" s="236" t="s">
        <v>229</v>
      </c>
      <c r="B493" s="109"/>
      <c r="C493" s="235"/>
      <c r="D493" s="235"/>
    </row>
    <row r="494" spans="1:4" ht="20.100000000000001" hidden="1" customHeight="1">
      <c r="A494" s="236" t="s">
        <v>230</v>
      </c>
      <c r="B494" s="109"/>
      <c r="C494" s="235"/>
      <c r="D494" s="235"/>
    </row>
    <row r="495" spans="1:4" ht="20.100000000000001" customHeight="1">
      <c r="A495" s="236" t="s">
        <v>553</v>
      </c>
      <c r="B495" s="109">
        <v>36</v>
      </c>
      <c r="C495" s="235">
        <v>36</v>
      </c>
      <c r="D495" s="235"/>
    </row>
    <row r="496" spans="1:4" ht="20.100000000000001" hidden="1" customHeight="1">
      <c r="A496" s="236" t="s">
        <v>554</v>
      </c>
      <c r="B496" s="109"/>
      <c r="C496" s="235"/>
      <c r="D496" s="235"/>
    </row>
    <row r="497" spans="1:4" ht="20.100000000000001" customHeight="1">
      <c r="A497" s="236" t="s">
        <v>555</v>
      </c>
      <c r="B497" s="109">
        <f>1114+379</f>
        <v>1493</v>
      </c>
      <c r="C497" s="235">
        <f>1114+379</f>
        <v>1493</v>
      </c>
      <c r="D497" s="235"/>
    </row>
    <row r="498" spans="1:4" ht="20.100000000000001" customHeight="1">
      <c r="A498" s="236" t="s">
        <v>556</v>
      </c>
      <c r="B498" s="109">
        <v>106</v>
      </c>
      <c r="C498" s="235"/>
      <c r="D498" s="235">
        <v>106</v>
      </c>
    </row>
    <row r="499" spans="1:4" ht="20.100000000000001" customHeight="1">
      <c r="A499" s="236" t="s">
        <v>557</v>
      </c>
      <c r="B499" s="109">
        <f>SUM(B500:B502)</f>
        <v>4943</v>
      </c>
      <c r="C499" s="235">
        <f>SUM(C500:C502)</f>
        <v>3830</v>
      </c>
      <c r="D499" s="235">
        <v>1113</v>
      </c>
    </row>
    <row r="500" spans="1:4" ht="20.100000000000001" hidden="1" customHeight="1">
      <c r="A500" s="236" t="s">
        <v>558</v>
      </c>
      <c r="B500" s="109"/>
      <c r="C500" s="235"/>
      <c r="D500" s="235"/>
    </row>
    <row r="501" spans="1:4" ht="20.100000000000001" customHeight="1">
      <c r="A501" s="236" t="s">
        <v>559</v>
      </c>
      <c r="B501" s="109">
        <v>400</v>
      </c>
      <c r="C501" s="235">
        <v>400</v>
      </c>
      <c r="D501" s="235"/>
    </row>
    <row r="502" spans="1:4" ht="20.100000000000001" customHeight="1">
      <c r="A502" s="236" t="s">
        <v>560</v>
      </c>
      <c r="B502" s="109">
        <f>3430+1113</f>
        <v>4543</v>
      </c>
      <c r="C502" s="235">
        <v>3430</v>
      </c>
      <c r="D502" s="235">
        <v>1113</v>
      </c>
    </row>
    <row r="503" spans="1:4" ht="20.100000000000001" customHeight="1">
      <c r="A503" s="234" t="s">
        <v>561</v>
      </c>
      <c r="B503" s="109">
        <f>B504+B523+B531+B542+B546+B556+B564+B571+B579+B588+B593+B596+B599+B602+B605+B608+B612+B616+B624+B627+B533</f>
        <v>51229</v>
      </c>
      <c r="C503" s="235">
        <f>C504+C523+C531+C542+C546+C556+C564+C571+C579+C588+C593+C596+C599+C602+C605+C608+C612+C616+C624+C627+C533</f>
        <v>30131</v>
      </c>
      <c r="D503" s="235">
        <f>D504+D523+D531+D542+D546+D556+D564+D571+D579+D588+D593+D596+D599+D602+D605+D608+D612+D616+D624+D627+D533</f>
        <v>21098</v>
      </c>
    </row>
    <row r="504" spans="1:4" ht="20.100000000000001" customHeight="1">
      <c r="A504" s="236" t="s">
        <v>562</v>
      </c>
      <c r="B504" s="109">
        <f>SUM(B505:B522)</f>
        <v>2952</v>
      </c>
      <c r="C504" s="235">
        <f>SUM(C505:C522)</f>
        <v>2940</v>
      </c>
      <c r="D504" s="235">
        <v>12</v>
      </c>
    </row>
    <row r="505" spans="1:4" ht="17.25" customHeight="1">
      <c r="A505" s="236" t="s">
        <v>228</v>
      </c>
      <c r="B505" s="109">
        <v>1367</v>
      </c>
      <c r="C505" s="235">
        <v>1367</v>
      </c>
      <c r="D505" s="235"/>
    </row>
    <row r="506" spans="1:4" ht="20.100000000000001" hidden="1" customHeight="1">
      <c r="A506" s="236" t="s">
        <v>229</v>
      </c>
      <c r="B506" s="109"/>
      <c r="C506" s="235"/>
      <c r="D506" s="235"/>
    </row>
    <row r="507" spans="1:4" ht="20.100000000000001" hidden="1" customHeight="1">
      <c r="A507" s="236" t="s">
        <v>230</v>
      </c>
      <c r="B507" s="109"/>
      <c r="C507" s="235"/>
      <c r="D507" s="235"/>
    </row>
    <row r="508" spans="1:4" ht="20.100000000000001" hidden="1" customHeight="1">
      <c r="A508" s="236" t="s">
        <v>563</v>
      </c>
      <c r="B508" s="109"/>
      <c r="C508" s="235"/>
      <c r="D508" s="235"/>
    </row>
    <row r="509" spans="1:4" ht="18" customHeight="1">
      <c r="A509" s="236" t="s">
        <v>564</v>
      </c>
      <c r="B509" s="109">
        <v>40</v>
      </c>
      <c r="C509" s="235">
        <v>40</v>
      </c>
      <c r="D509" s="235"/>
    </row>
    <row r="510" spans="1:4" ht="18" customHeight="1">
      <c r="A510" s="236" t="s">
        <v>565</v>
      </c>
      <c r="B510" s="109">
        <v>125</v>
      </c>
      <c r="C510" s="235">
        <v>125</v>
      </c>
      <c r="D510" s="235"/>
    </row>
    <row r="511" spans="1:4" ht="18" customHeight="1">
      <c r="A511" s="236" t="s">
        <v>566</v>
      </c>
      <c r="B511" s="109">
        <v>2</v>
      </c>
      <c r="C511" s="235">
        <v>2</v>
      </c>
      <c r="D511" s="235"/>
    </row>
    <row r="512" spans="1:4" ht="18" customHeight="1">
      <c r="A512" s="236" t="s">
        <v>269</v>
      </c>
      <c r="B512" s="109">
        <v>62</v>
      </c>
      <c r="C512" s="235">
        <v>62</v>
      </c>
      <c r="D512" s="235"/>
    </row>
    <row r="513" spans="1:4" ht="18" customHeight="1">
      <c r="A513" s="236" t="s">
        <v>567</v>
      </c>
      <c r="B513" s="109">
        <v>25</v>
      </c>
      <c r="C513" s="235">
        <v>25</v>
      </c>
      <c r="D513" s="235"/>
    </row>
    <row r="514" spans="1:4" ht="18" customHeight="1">
      <c r="A514" s="236" t="s">
        <v>568</v>
      </c>
      <c r="B514" s="109">
        <v>13</v>
      </c>
      <c r="C514" s="235">
        <v>13</v>
      </c>
      <c r="D514" s="235"/>
    </row>
    <row r="515" spans="1:4" ht="20.100000000000001" hidden="1" customHeight="1">
      <c r="A515" s="236" t="s">
        <v>569</v>
      </c>
      <c r="B515" s="109"/>
      <c r="C515" s="235"/>
      <c r="D515" s="235"/>
    </row>
    <row r="516" spans="1:4" ht="20.100000000000001" customHeight="1">
      <c r="A516" s="236" t="s">
        <v>570</v>
      </c>
      <c r="B516" s="109">
        <v>7</v>
      </c>
      <c r="C516" s="235">
        <v>7</v>
      </c>
      <c r="D516" s="235"/>
    </row>
    <row r="517" spans="1:4" ht="20.100000000000001" hidden="1" customHeight="1">
      <c r="A517" s="236" t="s">
        <v>571</v>
      </c>
      <c r="B517" s="109"/>
      <c r="C517" s="235"/>
      <c r="D517" s="235"/>
    </row>
    <row r="518" spans="1:4" ht="20.100000000000001" hidden="1" customHeight="1">
      <c r="A518" s="236" t="s">
        <v>572</v>
      </c>
      <c r="B518" s="109"/>
      <c r="C518" s="235"/>
      <c r="D518" s="235"/>
    </row>
    <row r="519" spans="1:4" ht="20.100000000000001" hidden="1" customHeight="1">
      <c r="A519" s="236" t="s">
        <v>573</v>
      </c>
      <c r="B519" s="109"/>
      <c r="C519" s="235"/>
      <c r="D519" s="235"/>
    </row>
    <row r="520" spans="1:4" ht="20.100000000000001" hidden="1" customHeight="1">
      <c r="A520" s="236" t="s">
        <v>574</v>
      </c>
      <c r="B520" s="109"/>
      <c r="C520" s="235"/>
      <c r="D520" s="235"/>
    </row>
    <row r="521" spans="1:4" ht="20.100000000000001" hidden="1" customHeight="1">
      <c r="A521" s="236" t="s">
        <v>237</v>
      </c>
      <c r="B521" s="109"/>
      <c r="C521" s="235"/>
      <c r="D521" s="235"/>
    </row>
    <row r="522" spans="1:4" ht="20.100000000000001" customHeight="1">
      <c r="A522" s="236" t="s">
        <v>575</v>
      </c>
      <c r="B522" s="109">
        <f>1299+12</f>
        <v>1311</v>
      </c>
      <c r="C522" s="235">
        <v>1299</v>
      </c>
      <c r="D522" s="235">
        <v>12</v>
      </c>
    </row>
    <row r="523" spans="1:4" ht="20.100000000000001" customHeight="1">
      <c r="A523" s="236" t="s">
        <v>576</v>
      </c>
      <c r="B523" s="109">
        <f>SUM(B524:B530)</f>
        <v>2736</v>
      </c>
      <c r="C523" s="235">
        <f>SUM(C524:C530)</f>
        <v>2736</v>
      </c>
      <c r="D523" s="235">
        <f>SUM(D524:D530)</f>
        <v>0</v>
      </c>
    </row>
    <row r="524" spans="1:4" ht="20.100000000000001" customHeight="1">
      <c r="A524" s="236" t="s">
        <v>228</v>
      </c>
      <c r="B524" s="109">
        <v>214</v>
      </c>
      <c r="C524" s="235">
        <v>214</v>
      </c>
      <c r="D524" s="235"/>
    </row>
    <row r="525" spans="1:4" ht="20.100000000000001" hidden="1" customHeight="1">
      <c r="A525" s="236" t="s">
        <v>229</v>
      </c>
      <c r="B525" s="109"/>
      <c r="C525" s="235"/>
      <c r="D525" s="235"/>
    </row>
    <row r="526" spans="1:4" ht="20.100000000000001" hidden="1" customHeight="1">
      <c r="A526" s="236" t="s">
        <v>230</v>
      </c>
      <c r="B526" s="109"/>
      <c r="C526" s="235"/>
      <c r="D526" s="235"/>
    </row>
    <row r="527" spans="1:4" ht="17.25" customHeight="1">
      <c r="A527" s="236" t="s">
        <v>577</v>
      </c>
      <c r="B527" s="109">
        <v>19</v>
      </c>
      <c r="C527" s="235">
        <v>19</v>
      </c>
      <c r="D527" s="235"/>
    </row>
    <row r="528" spans="1:4" ht="17.25" customHeight="1">
      <c r="A528" s="236" t="s">
        <v>578</v>
      </c>
      <c r="B528" s="109">
        <v>81</v>
      </c>
      <c r="C528" s="235">
        <v>81</v>
      </c>
      <c r="D528" s="235"/>
    </row>
    <row r="529" spans="1:4" ht="17.25" customHeight="1">
      <c r="A529" s="236" t="s">
        <v>579</v>
      </c>
      <c r="B529" s="109">
        <v>1644</v>
      </c>
      <c r="C529" s="235">
        <v>1644</v>
      </c>
      <c r="D529" s="235"/>
    </row>
    <row r="530" spans="1:4" ht="17.25" customHeight="1">
      <c r="A530" s="236" t="s">
        <v>580</v>
      </c>
      <c r="B530" s="109">
        <v>778</v>
      </c>
      <c r="C530" s="235">
        <v>778</v>
      </c>
      <c r="D530" s="235"/>
    </row>
    <row r="531" spans="1:4" ht="20.100000000000001" hidden="1" customHeight="1">
      <c r="A531" s="236" t="s">
        <v>581</v>
      </c>
      <c r="B531" s="109"/>
      <c r="C531" s="235"/>
      <c r="D531" s="235"/>
    </row>
    <row r="532" spans="1:4" ht="20.100000000000001" hidden="1" customHeight="1">
      <c r="A532" s="236" t="s">
        <v>582</v>
      </c>
      <c r="B532" s="109"/>
      <c r="C532" s="235"/>
      <c r="D532" s="235"/>
    </row>
    <row r="533" spans="1:4" ht="20.100000000000001" customHeight="1">
      <c r="A533" s="236" t="s">
        <v>583</v>
      </c>
      <c r="B533" s="109">
        <f>SUM(B534:B541)</f>
        <v>15329</v>
      </c>
      <c r="C533" s="235">
        <f>SUM(C534:C541)</f>
        <v>13846</v>
      </c>
      <c r="D533" s="235">
        <f>SUM(D534:D541)</f>
        <v>1483</v>
      </c>
    </row>
    <row r="534" spans="1:4" ht="20.100000000000001" customHeight="1">
      <c r="A534" s="236" t="s">
        <v>584</v>
      </c>
      <c r="B534" s="109">
        <f>530+1483</f>
        <v>2013</v>
      </c>
      <c r="C534" s="235">
        <v>530</v>
      </c>
      <c r="D534" s="235">
        <v>1483</v>
      </c>
    </row>
    <row r="535" spans="1:4" ht="20.100000000000001" customHeight="1">
      <c r="A535" s="236" t="s">
        <v>585</v>
      </c>
      <c r="B535" s="109">
        <v>90</v>
      </c>
      <c r="C535" s="235">
        <v>90</v>
      </c>
      <c r="D535" s="235"/>
    </row>
    <row r="536" spans="1:4" ht="20.100000000000001" customHeight="1">
      <c r="A536" s="236" t="s">
        <v>586</v>
      </c>
      <c r="B536" s="109">
        <v>11</v>
      </c>
      <c r="C536" s="235">
        <v>11</v>
      </c>
      <c r="D536" s="235"/>
    </row>
    <row r="537" spans="1:4" ht="20.100000000000001" customHeight="1">
      <c r="A537" s="236" t="s">
        <v>587</v>
      </c>
      <c r="B537" s="109">
        <v>8678</v>
      </c>
      <c r="C537" s="235">
        <v>8678</v>
      </c>
      <c r="D537" s="235"/>
    </row>
    <row r="538" spans="1:4" ht="20.100000000000001" customHeight="1">
      <c r="A538" s="236" t="s">
        <v>588</v>
      </c>
      <c r="B538" s="109">
        <v>105</v>
      </c>
      <c r="C538" s="235">
        <v>105</v>
      </c>
      <c r="D538" s="235"/>
    </row>
    <row r="539" spans="1:4" ht="20.100000000000001" customHeight="1">
      <c r="A539" s="236" t="s">
        <v>589</v>
      </c>
      <c r="B539" s="109">
        <v>3000</v>
      </c>
      <c r="C539" s="235">
        <v>3000</v>
      </c>
      <c r="D539" s="235"/>
    </row>
    <row r="540" spans="1:4" ht="20.100000000000001" hidden="1" customHeight="1">
      <c r="A540" s="236" t="s">
        <v>590</v>
      </c>
      <c r="B540" s="109"/>
      <c r="C540" s="235"/>
      <c r="D540" s="235"/>
    </row>
    <row r="541" spans="1:4" ht="20.100000000000001" customHeight="1">
      <c r="A541" s="236" t="s">
        <v>591</v>
      </c>
      <c r="B541" s="109">
        <v>1432</v>
      </c>
      <c r="C541" s="235">
        <v>1432</v>
      </c>
      <c r="D541" s="235"/>
    </row>
    <row r="542" spans="1:4" ht="20.100000000000001" customHeight="1">
      <c r="A542" s="236" t="s">
        <v>592</v>
      </c>
      <c r="B542" s="109">
        <f>SUM(B543:B545)</f>
        <v>210</v>
      </c>
      <c r="C542" s="235">
        <f>SUM(C543:C545)</f>
        <v>210</v>
      </c>
      <c r="D542" s="235">
        <f>SUM(D543:D545)</f>
        <v>0</v>
      </c>
    </row>
    <row r="543" spans="1:4" ht="20.100000000000001" hidden="1" customHeight="1">
      <c r="A543" s="236" t="s">
        <v>593</v>
      </c>
      <c r="B543" s="109"/>
      <c r="C543" s="235"/>
      <c r="D543" s="235"/>
    </row>
    <row r="544" spans="1:4" ht="20.100000000000001" hidden="1" customHeight="1">
      <c r="A544" s="236" t="s">
        <v>594</v>
      </c>
      <c r="B544" s="109"/>
      <c r="C544" s="235"/>
      <c r="D544" s="235"/>
    </row>
    <row r="545" spans="1:4" ht="20.100000000000001" customHeight="1">
      <c r="A545" s="236" t="s">
        <v>595</v>
      </c>
      <c r="B545" s="109">
        <v>210</v>
      </c>
      <c r="C545" s="235">
        <v>210</v>
      </c>
      <c r="D545" s="235"/>
    </row>
    <row r="546" spans="1:4" ht="20.100000000000001" customHeight="1">
      <c r="A546" s="236" t="s">
        <v>596</v>
      </c>
      <c r="B546" s="109">
        <f>SUM(B547:B555)</f>
        <v>7960</v>
      </c>
      <c r="C546" s="235">
        <f>SUM(C547:C555)</f>
        <v>1807</v>
      </c>
      <c r="D546" s="235">
        <v>6153</v>
      </c>
    </row>
    <row r="547" spans="1:4" ht="20.100000000000001" customHeight="1">
      <c r="A547" s="236" t="s">
        <v>597</v>
      </c>
      <c r="B547" s="109">
        <v>654</v>
      </c>
      <c r="C547" s="235">
        <v>654</v>
      </c>
      <c r="D547" s="235"/>
    </row>
    <row r="548" spans="1:4" ht="20.100000000000001" hidden="1" customHeight="1">
      <c r="A548" s="236" t="s">
        <v>598</v>
      </c>
      <c r="B548" s="109"/>
      <c r="C548" s="235"/>
      <c r="D548" s="235"/>
    </row>
    <row r="549" spans="1:4" ht="20.100000000000001" hidden="1" customHeight="1">
      <c r="A549" s="236" t="s">
        <v>599</v>
      </c>
      <c r="B549" s="109"/>
      <c r="C549" s="235"/>
      <c r="D549" s="235"/>
    </row>
    <row r="550" spans="1:4" ht="20.100000000000001" hidden="1" customHeight="1">
      <c r="A550" s="236" t="s">
        <v>600</v>
      </c>
      <c r="B550" s="109"/>
      <c r="C550" s="235"/>
      <c r="D550" s="235"/>
    </row>
    <row r="551" spans="1:4" ht="20.100000000000001" hidden="1" customHeight="1">
      <c r="A551" s="236" t="s">
        <v>601</v>
      </c>
      <c r="B551" s="109"/>
      <c r="C551" s="235"/>
      <c r="D551" s="235"/>
    </row>
    <row r="552" spans="1:4" ht="20.100000000000001" hidden="1" customHeight="1">
      <c r="A552" s="236" t="s">
        <v>602</v>
      </c>
      <c r="B552" s="109"/>
      <c r="C552" s="235"/>
      <c r="D552" s="235"/>
    </row>
    <row r="553" spans="1:4" ht="20.100000000000001" hidden="1" customHeight="1">
      <c r="A553" s="236" t="s">
        <v>603</v>
      </c>
      <c r="B553" s="109"/>
      <c r="C553" s="235"/>
      <c r="D553" s="235"/>
    </row>
    <row r="554" spans="1:4" ht="20.100000000000001" hidden="1" customHeight="1">
      <c r="A554" s="236" t="s">
        <v>604</v>
      </c>
      <c r="B554" s="109"/>
      <c r="C554" s="235"/>
      <c r="D554" s="235"/>
    </row>
    <row r="555" spans="1:4" ht="20.100000000000001" customHeight="1">
      <c r="A555" s="236" t="s">
        <v>605</v>
      </c>
      <c r="B555" s="109">
        <f>1153+6153</f>
        <v>7306</v>
      </c>
      <c r="C555" s="235">
        <v>1153</v>
      </c>
      <c r="D555" s="235">
        <v>6153</v>
      </c>
    </row>
    <row r="556" spans="1:4" ht="20.100000000000001" customHeight="1">
      <c r="A556" s="236" t="s">
        <v>606</v>
      </c>
      <c r="B556" s="109">
        <f>SUM(B557:B563)</f>
        <v>663</v>
      </c>
      <c r="C556" s="235">
        <f>SUM(C557:C563)</f>
        <v>613</v>
      </c>
      <c r="D556" s="235">
        <v>50</v>
      </c>
    </row>
    <row r="557" spans="1:4" ht="20.100000000000001" customHeight="1">
      <c r="A557" s="236" t="s">
        <v>607</v>
      </c>
      <c r="B557" s="109">
        <v>450</v>
      </c>
      <c r="C557" s="235">
        <v>450</v>
      </c>
      <c r="D557" s="235"/>
    </row>
    <row r="558" spans="1:4" ht="20.100000000000001" customHeight="1">
      <c r="A558" s="236" t="s">
        <v>608</v>
      </c>
      <c r="B558" s="109">
        <v>24</v>
      </c>
      <c r="C558" s="235">
        <v>24</v>
      </c>
      <c r="D558" s="235"/>
    </row>
    <row r="559" spans="1:4" ht="20.100000000000001" hidden="1" customHeight="1">
      <c r="A559" s="236" t="s">
        <v>609</v>
      </c>
      <c r="B559" s="109"/>
      <c r="C559" s="235"/>
      <c r="D559" s="235"/>
    </row>
    <row r="560" spans="1:4" ht="20.100000000000001" customHeight="1">
      <c r="A560" s="236" t="s">
        <v>610</v>
      </c>
      <c r="B560" s="109">
        <v>6</v>
      </c>
      <c r="C560" s="235">
        <v>6</v>
      </c>
      <c r="D560" s="235"/>
    </row>
    <row r="561" spans="1:4" ht="20.100000000000001" customHeight="1">
      <c r="A561" s="236" t="s">
        <v>611</v>
      </c>
      <c r="B561" s="109">
        <v>93</v>
      </c>
      <c r="C561" s="235">
        <v>93</v>
      </c>
      <c r="D561" s="235"/>
    </row>
    <row r="562" spans="1:4" ht="20.100000000000001" hidden="1" customHeight="1">
      <c r="A562" s="236" t="s">
        <v>612</v>
      </c>
      <c r="B562" s="109"/>
      <c r="C562" s="235"/>
      <c r="D562" s="235"/>
    </row>
    <row r="563" spans="1:4" ht="20.100000000000001" customHeight="1">
      <c r="A563" s="236" t="s">
        <v>613</v>
      </c>
      <c r="B563" s="109">
        <f>40+50</f>
        <v>90</v>
      </c>
      <c r="C563" s="235">
        <v>40</v>
      </c>
      <c r="D563" s="235">
        <v>50</v>
      </c>
    </row>
    <row r="564" spans="1:4" ht="20.100000000000001" customHeight="1">
      <c r="A564" s="236" t="s">
        <v>614</v>
      </c>
      <c r="B564" s="109">
        <f>SUM(B565:B570)</f>
        <v>1605</v>
      </c>
      <c r="C564" s="235">
        <f>SUM(C565:C570)</f>
        <v>389</v>
      </c>
      <c r="D564" s="235">
        <v>1216</v>
      </c>
    </row>
    <row r="565" spans="1:4" ht="20.100000000000001" customHeight="1">
      <c r="A565" s="236" t="s">
        <v>615</v>
      </c>
      <c r="B565" s="109">
        <v>287</v>
      </c>
      <c r="C565" s="235">
        <v>287</v>
      </c>
      <c r="D565" s="235"/>
    </row>
    <row r="566" spans="1:4" ht="20.100000000000001" hidden="1" customHeight="1">
      <c r="A566" s="236" t="s">
        <v>616</v>
      </c>
      <c r="B566" s="109"/>
      <c r="C566" s="235"/>
      <c r="D566" s="235"/>
    </row>
    <row r="567" spans="1:4" ht="20.100000000000001" hidden="1" customHeight="1">
      <c r="A567" s="236" t="s">
        <v>617</v>
      </c>
      <c r="B567" s="109"/>
      <c r="C567" s="235"/>
      <c r="D567" s="235"/>
    </row>
    <row r="568" spans="1:4" ht="20.100000000000001" hidden="1" customHeight="1">
      <c r="A568" s="236" t="s">
        <v>618</v>
      </c>
      <c r="B568" s="109"/>
      <c r="C568" s="235"/>
      <c r="D568" s="235"/>
    </row>
    <row r="569" spans="1:4" ht="20.100000000000001" customHeight="1">
      <c r="A569" s="236" t="s">
        <v>619</v>
      </c>
      <c r="B569" s="109">
        <v>102</v>
      </c>
      <c r="C569" s="235">
        <v>102</v>
      </c>
      <c r="D569" s="235"/>
    </row>
    <row r="570" spans="1:4" ht="20.100000000000001" customHeight="1">
      <c r="A570" s="236" t="s">
        <v>620</v>
      </c>
      <c r="B570" s="109">
        <v>1216</v>
      </c>
      <c r="C570" s="235"/>
      <c r="D570" s="235">
        <v>1216</v>
      </c>
    </row>
    <row r="571" spans="1:4" ht="20.100000000000001" customHeight="1">
      <c r="A571" s="236" t="s">
        <v>621</v>
      </c>
      <c r="B571" s="109">
        <f>SUM(B572:B578)</f>
        <v>884</v>
      </c>
      <c r="C571" s="235">
        <f>SUM(C572:C578)</f>
        <v>760</v>
      </c>
      <c r="D571" s="235">
        <v>124</v>
      </c>
    </row>
    <row r="572" spans="1:4" ht="20.100000000000001" customHeight="1">
      <c r="A572" s="236" t="s">
        <v>622</v>
      </c>
      <c r="B572" s="109">
        <v>122</v>
      </c>
      <c r="C572" s="235">
        <v>122</v>
      </c>
      <c r="D572" s="235"/>
    </row>
    <row r="573" spans="1:4" ht="20.100000000000001" hidden="1" customHeight="1">
      <c r="A573" s="236" t="s">
        <v>623</v>
      </c>
      <c r="B573" s="109"/>
      <c r="C573" s="235"/>
      <c r="D573" s="235"/>
    </row>
    <row r="574" spans="1:4" ht="20.100000000000001" hidden="1" customHeight="1">
      <c r="A574" s="236" t="s">
        <v>624</v>
      </c>
      <c r="B574" s="109"/>
      <c r="C574" s="235"/>
      <c r="D574" s="235"/>
    </row>
    <row r="575" spans="1:4" ht="20.100000000000001" customHeight="1">
      <c r="A575" s="236" t="s">
        <v>625</v>
      </c>
      <c r="B575" s="109">
        <v>95</v>
      </c>
      <c r="C575" s="235">
        <v>95</v>
      </c>
      <c r="D575" s="235"/>
    </row>
    <row r="576" spans="1:4" ht="20.100000000000001" customHeight="1">
      <c r="A576" s="236" t="s">
        <v>626</v>
      </c>
      <c r="B576" s="109">
        <v>398</v>
      </c>
      <c r="C576" s="235">
        <v>398</v>
      </c>
      <c r="D576" s="235"/>
    </row>
    <row r="577" spans="1:4" ht="20.100000000000001" hidden="1" customHeight="1">
      <c r="A577" s="236" t="s">
        <v>627</v>
      </c>
      <c r="B577" s="109"/>
      <c r="C577" s="235"/>
      <c r="D577" s="235"/>
    </row>
    <row r="578" spans="1:4" ht="20.100000000000001" customHeight="1">
      <c r="A578" s="236" t="s">
        <v>628</v>
      </c>
      <c r="B578" s="109">
        <f>145+124</f>
        <v>269</v>
      </c>
      <c r="C578" s="235">
        <v>145</v>
      </c>
      <c r="D578" s="235">
        <v>124</v>
      </c>
    </row>
    <row r="579" spans="1:4" ht="20.100000000000001" customHeight="1">
      <c r="A579" s="236" t="s">
        <v>629</v>
      </c>
      <c r="B579" s="109">
        <f>SUM(B580:B587)</f>
        <v>1917</v>
      </c>
      <c r="C579" s="235">
        <f>SUM(C580:C587)</f>
        <v>1803</v>
      </c>
      <c r="D579" s="235">
        <v>114</v>
      </c>
    </row>
    <row r="580" spans="1:4" ht="20.100000000000001" customHeight="1">
      <c r="A580" s="236" t="s">
        <v>228</v>
      </c>
      <c r="B580" s="109">
        <v>189</v>
      </c>
      <c r="C580" s="235">
        <v>189</v>
      </c>
      <c r="D580" s="235"/>
    </row>
    <row r="581" spans="1:4" ht="20.100000000000001" hidden="1" customHeight="1">
      <c r="A581" s="236" t="s">
        <v>229</v>
      </c>
      <c r="B581" s="109"/>
      <c r="C581" s="235"/>
      <c r="D581" s="235"/>
    </row>
    <row r="582" spans="1:4" ht="20.100000000000001" hidden="1" customHeight="1">
      <c r="A582" s="236" t="s">
        <v>230</v>
      </c>
      <c r="B582" s="109"/>
      <c r="C582" s="235"/>
      <c r="D582" s="235"/>
    </row>
    <row r="583" spans="1:4" ht="20.100000000000001" customHeight="1">
      <c r="A583" s="236" t="s">
        <v>630</v>
      </c>
      <c r="B583" s="109">
        <v>420</v>
      </c>
      <c r="C583" s="235">
        <v>420</v>
      </c>
      <c r="D583" s="235"/>
    </row>
    <row r="584" spans="1:4" ht="20.100000000000001" customHeight="1">
      <c r="A584" s="236" t="s">
        <v>631</v>
      </c>
      <c r="B584" s="109">
        <v>40</v>
      </c>
      <c r="C584" s="235">
        <v>40</v>
      </c>
      <c r="D584" s="235"/>
    </row>
    <row r="585" spans="1:4" ht="20.100000000000001" customHeight="1">
      <c r="A585" s="236" t="s">
        <v>632</v>
      </c>
      <c r="B585" s="109">
        <v>30</v>
      </c>
      <c r="C585" s="235">
        <v>30</v>
      </c>
      <c r="D585" s="235"/>
    </row>
    <row r="586" spans="1:4" ht="20.100000000000001" customHeight="1">
      <c r="A586" s="236" t="s">
        <v>633</v>
      </c>
      <c r="B586" s="109">
        <v>700</v>
      </c>
      <c r="C586" s="235">
        <v>700</v>
      </c>
      <c r="D586" s="235"/>
    </row>
    <row r="587" spans="1:4" ht="20.100000000000001" customHeight="1">
      <c r="A587" s="236" t="s">
        <v>634</v>
      </c>
      <c r="B587" s="109">
        <f>424+114</f>
        <v>538</v>
      </c>
      <c r="C587" s="235">
        <v>424</v>
      </c>
      <c r="D587" s="235">
        <v>114</v>
      </c>
    </row>
    <row r="588" spans="1:4" ht="20.100000000000001" customHeight="1">
      <c r="A588" s="236" t="s">
        <v>635</v>
      </c>
      <c r="B588" s="109">
        <f>SUM(B589:B592)</f>
        <v>74</v>
      </c>
      <c r="C588" s="235">
        <f>SUM(C589:C592)</f>
        <v>74</v>
      </c>
      <c r="D588" s="235">
        <f>SUM(D589:D592)</f>
        <v>0</v>
      </c>
    </row>
    <row r="589" spans="1:4" ht="20.100000000000001" customHeight="1">
      <c r="A589" s="236" t="s">
        <v>228</v>
      </c>
      <c r="B589" s="109">
        <v>63</v>
      </c>
      <c r="C589" s="235">
        <v>63</v>
      </c>
      <c r="D589" s="235"/>
    </row>
    <row r="590" spans="1:4" ht="20.100000000000001" hidden="1" customHeight="1">
      <c r="A590" s="236" t="s">
        <v>229</v>
      </c>
      <c r="B590" s="109"/>
      <c r="C590" s="235"/>
      <c r="D590" s="235"/>
    </row>
    <row r="591" spans="1:4" ht="20.100000000000001" hidden="1" customHeight="1">
      <c r="A591" s="236" t="s">
        <v>230</v>
      </c>
      <c r="B591" s="109"/>
      <c r="C591" s="235"/>
      <c r="D591" s="235"/>
    </row>
    <row r="592" spans="1:4" ht="20.100000000000001" customHeight="1">
      <c r="A592" s="236" t="s">
        <v>636</v>
      </c>
      <c r="B592" s="109">
        <v>11</v>
      </c>
      <c r="C592" s="235">
        <v>11</v>
      </c>
      <c r="D592" s="235"/>
    </row>
    <row r="593" spans="1:4" ht="20.100000000000001" hidden="1" customHeight="1">
      <c r="A593" s="236" t="s">
        <v>637</v>
      </c>
      <c r="B593" s="109">
        <f>SUM(B594:B595)</f>
        <v>0</v>
      </c>
      <c r="C593" s="235">
        <f>SUM(C594:C595)</f>
        <v>0</v>
      </c>
      <c r="D593" s="235">
        <f>SUM(D594:D595)</f>
        <v>0</v>
      </c>
    </row>
    <row r="594" spans="1:4" ht="20.100000000000001" hidden="1" customHeight="1">
      <c r="A594" s="236" t="s">
        <v>638</v>
      </c>
      <c r="B594" s="109"/>
      <c r="C594" s="235"/>
      <c r="D594" s="235"/>
    </row>
    <row r="595" spans="1:4" ht="20.100000000000001" hidden="1" customHeight="1">
      <c r="A595" s="236" t="s">
        <v>639</v>
      </c>
      <c r="B595" s="109"/>
      <c r="C595" s="235"/>
      <c r="D595" s="235"/>
    </row>
    <row r="596" spans="1:4" ht="20.100000000000001" customHeight="1">
      <c r="A596" s="236" t="s">
        <v>640</v>
      </c>
      <c r="B596" s="109">
        <f>SUM(B597:B598)</f>
        <v>64</v>
      </c>
      <c r="C596" s="235">
        <f>SUM(C597:C598)</f>
        <v>64</v>
      </c>
      <c r="D596" s="235">
        <f>SUM(D597:D598)</f>
        <v>0</v>
      </c>
    </row>
    <row r="597" spans="1:4" ht="20.100000000000001" hidden="1" customHeight="1">
      <c r="A597" s="236" t="s">
        <v>641</v>
      </c>
      <c r="B597" s="109"/>
      <c r="C597" s="235"/>
      <c r="D597" s="235"/>
    </row>
    <row r="598" spans="1:4" ht="20.100000000000001" customHeight="1">
      <c r="A598" s="236" t="s">
        <v>642</v>
      </c>
      <c r="B598" s="109">
        <v>64</v>
      </c>
      <c r="C598" s="235">
        <v>64</v>
      </c>
      <c r="D598" s="235"/>
    </row>
    <row r="599" spans="1:4" ht="20.100000000000001" hidden="1" customHeight="1">
      <c r="A599" s="236" t="s">
        <v>643</v>
      </c>
      <c r="B599" s="109">
        <f>SUM(B600:B601)</f>
        <v>0</v>
      </c>
      <c r="C599" s="235">
        <f>SUM(C600:C601)</f>
        <v>0</v>
      </c>
      <c r="D599" s="235">
        <f>SUM(D600:D601)</f>
        <v>0</v>
      </c>
    </row>
    <row r="600" spans="1:4" ht="20.100000000000001" hidden="1" customHeight="1">
      <c r="A600" s="236" t="s">
        <v>644</v>
      </c>
      <c r="B600" s="109"/>
      <c r="C600" s="235"/>
      <c r="D600" s="235"/>
    </row>
    <row r="601" spans="1:4" ht="20.100000000000001" hidden="1" customHeight="1">
      <c r="A601" s="236" t="s">
        <v>645</v>
      </c>
      <c r="B601" s="109"/>
      <c r="C601" s="235"/>
      <c r="D601" s="235"/>
    </row>
    <row r="602" spans="1:4" ht="20.100000000000001" hidden="1" customHeight="1">
      <c r="A602" s="236" t="s">
        <v>646</v>
      </c>
      <c r="B602" s="109">
        <f>SUM(B603:B604)</f>
        <v>0</v>
      </c>
      <c r="C602" s="235">
        <f>SUM(C603:C604)</f>
        <v>0</v>
      </c>
      <c r="D602" s="235">
        <f>SUM(D603:D604)</f>
        <v>0</v>
      </c>
    </row>
    <row r="603" spans="1:4" ht="20.100000000000001" hidden="1" customHeight="1">
      <c r="A603" s="236" t="s">
        <v>647</v>
      </c>
      <c r="B603" s="109"/>
      <c r="C603" s="235"/>
      <c r="D603" s="235"/>
    </row>
    <row r="604" spans="1:4" ht="20.100000000000001" hidden="1" customHeight="1">
      <c r="A604" s="236" t="s">
        <v>648</v>
      </c>
      <c r="B604" s="109"/>
      <c r="C604" s="235"/>
      <c r="D604" s="235"/>
    </row>
    <row r="605" spans="1:4" ht="20.100000000000001" hidden="1" customHeight="1">
      <c r="A605" s="236" t="s">
        <v>649</v>
      </c>
      <c r="B605" s="109">
        <f>SUM(B606:B607)</f>
        <v>0</v>
      </c>
      <c r="C605" s="235">
        <f>SUM(C606:C607)</f>
        <v>0</v>
      </c>
      <c r="D605" s="235">
        <f>SUM(D606:D607)</f>
        <v>0</v>
      </c>
    </row>
    <row r="606" spans="1:4" ht="20.100000000000001" hidden="1" customHeight="1">
      <c r="A606" s="236" t="s">
        <v>650</v>
      </c>
      <c r="B606" s="109"/>
      <c r="C606" s="235"/>
      <c r="D606" s="235"/>
    </row>
    <row r="607" spans="1:4" ht="20.100000000000001" hidden="1" customHeight="1">
      <c r="A607" s="236" t="s">
        <v>651</v>
      </c>
      <c r="B607" s="109"/>
      <c r="C607" s="235"/>
      <c r="D607" s="235"/>
    </row>
    <row r="608" spans="1:4" ht="20.100000000000001" customHeight="1">
      <c r="A608" s="236" t="s">
        <v>652</v>
      </c>
      <c r="B608" s="109">
        <f>SUM(B609:B611)</f>
        <v>13360</v>
      </c>
      <c r="C608" s="235">
        <f>SUM(C609:C611)</f>
        <v>3687</v>
      </c>
      <c r="D608" s="235">
        <v>9673</v>
      </c>
    </row>
    <row r="609" spans="1:4" ht="20.100000000000001" hidden="1" customHeight="1">
      <c r="A609" s="236" t="s">
        <v>653</v>
      </c>
      <c r="B609" s="109"/>
      <c r="C609" s="235"/>
      <c r="D609" s="235"/>
    </row>
    <row r="610" spans="1:4" ht="20.100000000000001" customHeight="1">
      <c r="A610" s="236" t="s">
        <v>654</v>
      </c>
      <c r="B610" s="109">
        <f>3400+9673</f>
        <v>13073</v>
      </c>
      <c r="C610" s="235">
        <v>3400</v>
      </c>
      <c r="D610" s="235">
        <v>9673</v>
      </c>
    </row>
    <row r="611" spans="1:4" ht="20.100000000000001" customHeight="1">
      <c r="A611" s="236" t="s">
        <v>655</v>
      </c>
      <c r="B611" s="109">
        <v>287</v>
      </c>
      <c r="C611" s="235">
        <v>287</v>
      </c>
      <c r="D611" s="235"/>
    </row>
    <row r="612" spans="1:4" ht="20.100000000000001" hidden="1" customHeight="1">
      <c r="A612" s="236" t="s">
        <v>656</v>
      </c>
      <c r="B612" s="109">
        <f>SUM(B613:B615)</f>
        <v>0</v>
      </c>
      <c r="C612" s="235">
        <f>SUM(C613:C615)</f>
        <v>0</v>
      </c>
      <c r="D612" s="235">
        <f>SUM(D613:D615)</f>
        <v>0</v>
      </c>
    </row>
    <row r="613" spans="1:4" ht="20.100000000000001" hidden="1" customHeight="1">
      <c r="A613" s="236" t="s">
        <v>657</v>
      </c>
      <c r="B613" s="109"/>
      <c r="C613" s="235"/>
      <c r="D613" s="235"/>
    </row>
    <row r="614" spans="1:4" ht="20.100000000000001" hidden="1" customHeight="1">
      <c r="A614" s="236" t="s">
        <v>658</v>
      </c>
      <c r="B614" s="109"/>
      <c r="C614" s="235"/>
      <c r="D614" s="235"/>
    </row>
    <row r="615" spans="1:4" ht="20.100000000000001" hidden="1" customHeight="1">
      <c r="A615" s="236" t="s">
        <v>659</v>
      </c>
      <c r="B615" s="109"/>
      <c r="C615" s="235"/>
      <c r="D615" s="235"/>
    </row>
    <row r="616" spans="1:4" ht="20.100000000000001" customHeight="1">
      <c r="A616" s="236" t="s">
        <v>660</v>
      </c>
      <c r="B616" s="109">
        <f>SUM(B617:B623)</f>
        <v>356</v>
      </c>
      <c r="C616" s="235">
        <f>SUM(C617:C623)</f>
        <v>356</v>
      </c>
      <c r="D616" s="235">
        <f>SUM(D617:D623)</f>
        <v>0</v>
      </c>
    </row>
    <row r="617" spans="1:4" ht="20.100000000000001" customHeight="1">
      <c r="A617" s="236" t="s">
        <v>228</v>
      </c>
      <c r="B617" s="109">
        <v>158</v>
      </c>
      <c r="C617" s="235">
        <v>158</v>
      </c>
      <c r="D617" s="235"/>
    </row>
    <row r="618" spans="1:4" ht="20.100000000000001" hidden="1" customHeight="1">
      <c r="A618" s="236" t="s">
        <v>229</v>
      </c>
      <c r="B618" s="109"/>
      <c r="C618" s="235"/>
      <c r="D618" s="235"/>
    </row>
    <row r="619" spans="1:4" ht="20.100000000000001" hidden="1" customHeight="1">
      <c r="A619" s="236" t="s">
        <v>230</v>
      </c>
      <c r="B619" s="109"/>
      <c r="C619" s="235"/>
      <c r="D619" s="235"/>
    </row>
    <row r="620" spans="1:4" ht="20.100000000000001" customHeight="1">
      <c r="A620" s="236" t="s">
        <v>661</v>
      </c>
      <c r="B620" s="109">
        <v>60</v>
      </c>
      <c r="C620" s="235">
        <v>60</v>
      </c>
      <c r="D620" s="235"/>
    </row>
    <row r="621" spans="1:4" ht="20.100000000000001" hidden="1" customHeight="1">
      <c r="A621" s="236" t="s">
        <v>662</v>
      </c>
      <c r="B621" s="109"/>
      <c r="C621" s="235"/>
      <c r="D621" s="235"/>
    </row>
    <row r="622" spans="1:4" ht="20.100000000000001" customHeight="1">
      <c r="A622" s="236" t="s">
        <v>237</v>
      </c>
      <c r="B622" s="109">
        <v>86</v>
      </c>
      <c r="C622" s="235">
        <v>86</v>
      </c>
      <c r="D622" s="235"/>
    </row>
    <row r="623" spans="1:4" ht="20.100000000000001" customHeight="1">
      <c r="A623" s="236" t="s">
        <v>663</v>
      </c>
      <c r="B623" s="109">
        <v>52</v>
      </c>
      <c r="C623" s="235">
        <v>52</v>
      </c>
      <c r="D623" s="235"/>
    </row>
    <row r="624" spans="1:4" ht="20.100000000000001" hidden="1" customHeight="1">
      <c r="A624" s="236" t="s">
        <v>664</v>
      </c>
      <c r="B624" s="109">
        <f>SUM(B625:B626)</f>
        <v>0</v>
      </c>
      <c r="C624" s="235">
        <f>SUM(C625:C626)</f>
        <v>0</v>
      </c>
      <c r="D624" s="235">
        <f>SUM(D625:D626)</f>
        <v>0</v>
      </c>
    </row>
    <row r="625" spans="1:4" ht="20.100000000000001" hidden="1" customHeight="1">
      <c r="A625" s="236" t="s">
        <v>665</v>
      </c>
      <c r="B625" s="109"/>
      <c r="C625" s="235"/>
      <c r="D625" s="235"/>
    </row>
    <row r="626" spans="1:4" ht="20.100000000000001" hidden="1" customHeight="1">
      <c r="A626" s="236" t="s">
        <v>666</v>
      </c>
      <c r="B626" s="109"/>
      <c r="C626" s="235"/>
      <c r="D626" s="235"/>
    </row>
    <row r="627" spans="1:4" ht="20.100000000000001" customHeight="1">
      <c r="A627" s="236" t="s">
        <v>667</v>
      </c>
      <c r="B627" s="109">
        <f>846+2273</f>
        <v>3119</v>
      </c>
      <c r="C627" s="235">
        <v>846</v>
      </c>
      <c r="D627" s="235">
        <v>2273</v>
      </c>
    </row>
    <row r="628" spans="1:4" ht="20.100000000000001" customHeight="1">
      <c r="A628" s="234" t="s">
        <v>668</v>
      </c>
      <c r="B628" s="109">
        <f>B629+B634+B648+B652+B664+B667+B671+B676+B680+B684+B687+B696+B697</f>
        <v>39368</v>
      </c>
      <c r="C628" s="235">
        <f>C629+C634+C648+C652+C664+C667+C671+C676+C680+C684+C687+C696+C697</f>
        <v>24143</v>
      </c>
      <c r="D628" s="235">
        <f>D629+D634+D648+D652+D664+D667+D671+D676+D680+D684+D687+D696+D697</f>
        <v>15225</v>
      </c>
    </row>
    <row r="629" spans="1:4" ht="20.100000000000001" customHeight="1">
      <c r="A629" s="236" t="s">
        <v>669</v>
      </c>
      <c r="B629" s="109">
        <f>SUM(B630:B633)</f>
        <v>1141</v>
      </c>
      <c r="C629" s="235">
        <f>SUM(C630:C633)</f>
        <v>1141</v>
      </c>
      <c r="D629" s="235">
        <f>SUM(D630:D633)</f>
        <v>0</v>
      </c>
    </row>
    <row r="630" spans="1:4" ht="20.100000000000001" customHeight="1">
      <c r="A630" s="236" t="s">
        <v>228</v>
      </c>
      <c r="B630" s="109">
        <v>546</v>
      </c>
      <c r="C630" s="235">
        <v>546</v>
      </c>
      <c r="D630" s="235"/>
    </row>
    <row r="631" spans="1:4" ht="20.100000000000001" hidden="1" customHeight="1">
      <c r="A631" s="236" t="s">
        <v>229</v>
      </c>
      <c r="B631" s="109"/>
      <c r="C631" s="235"/>
      <c r="D631" s="235"/>
    </row>
    <row r="632" spans="1:4" ht="20.100000000000001" hidden="1" customHeight="1">
      <c r="A632" s="236" t="s">
        <v>230</v>
      </c>
      <c r="B632" s="109"/>
      <c r="C632" s="235"/>
      <c r="D632" s="235"/>
    </row>
    <row r="633" spans="1:4" ht="20.100000000000001" customHeight="1">
      <c r="A633" s="236" t="s">
        <v>670</v>
      </c>
      <c r="B633" s="109">
        <v>595</v>
      </c>
      <c r="C633" s="235">
        <v>595</v>
      </c>
      <c r="D633" s="235"/>
    </row>
    <row r="634" spans="1:4" ht="20.100000000000001" customHeight="1">
      <c r="A634" s="236" t="s">
        <v>671</v>
      </c>
      <c r="B634" s="109">
        <f>SUM(B635:B647)</f>
        <v>6124</v>
      </c>
      <c r="C634" s="235">
        <f>SUM(C635:C647)</f>
        <v>5288</v>
      </c>
      <c r="D634" s="235">
        <v>836</v>
      </c>
    </row>
    <row r="635" spans="1:4" ht="20.100000000000001" customHeight="1">
      <c r="A635" s="236" t="s">
        <v>672</v>
      </c>
      <c r="B635" s="109">
        <v>5</v>
      </c>
      <c r="C635" s="235">
        <v>5</v>
      </c>
      <c r="D635" s="235"/>
    </row>
    <row r="636" spans="1:4" ht="20.100000000000001" customHeight="1">
      <c r="A636" s="236" t="s">
        <v>673</v>
      </c>
      <c r="B636" s="109">
        <v>140</v>
      </c>
      <c r="C636" s="235">
        <v>140</v>
      </c>
      <c r="D636" s="235"/>
    </row>
    <row r="637" spans="1:4" ht="20.100000000000001" hidden="1" customHeight="1">
      <c r="A637" s="236" t="s">
        <v>674</v>
      </c>
      <c r="B637" s="109"/>
      <c r="C637" s="235"/>
      <c r="D637" s="235"/>
    </row>
    <row r="638" spans="1:4" ht="20.100000000000001" hidden="1" customHeight="1">
      <c r="A638" s="236" t="s">
        <v>675</v>
      </c>
      <c r="B638" s="109"/>
      <c r="C638" s="235"/>
      <c r="D638" s="235"/>
    </row>
    <row r="639" spans="1:4" ht="20.100000000000001" hidden="1" customHeight="1">
      <c r="A639" s="236" t="s">
        <v>676</v>
      </c>
      <c r="B639" s="109"/>
      <c r="C639" s="235"/>
      <c r="D639" s="235"/>
    </row>
    <row r="640" spans="1:4" ht="20.100000000000001" customHeight="1">
      <c r="A640" s="236" t="s">
        <v>677</v>
      </c>
      <c r="B640" s="109">
        <v>458</v>
      </c>
      <c r="C640" s="235">
        <v>458</v>
      </c>
      <c r="D640" s="235"/>
    </row>
    <row r="641" spans="1:4" ht="20.100000000000001" hidden="1" customHeight="1">
      <c r="A641" s="236" t="s">
        <v>678</v>
      </c>
      <c r="B641" s="109"/>
      <c r="C641" s="235"/>
      <c r="D641" s="235"/>
    </row>
    <row r="642" spans="1:4" ht="20.100000000000001" hidden="1" customHeight="1">
      <c r="A642" s="236" t="s">
        <v>679</v>
      </c>
      <c r="B642" s="109"/>
      <c r="C642" s="235"/>
      <c r="D642" s="235"/>
    </row>
    <row r="643" spans="1:4" ht="20.100000000000001" hidden="1" customHeight="1">
      <c r="A643" s="236" t="s">
        <v>680</v>
      </c>
      <c r="B643" s="109"/>
      <c r="C643" s="235"/>
      <c r="D643" s="235"/>
    </row>
    <row r="644" spans="1:4" ht="20.100000000000001" hidden="1" customHeight="1">
      <c r="A644" s="236" t="s">
        <v>681</v>
      </c>
      <c r="B644" s="109"/>
      <c r="C644" s="235"/>
      <c r="D644" s="235"/>
    </row>
    <row r="645" spans="1:4" ht="20.100000000000001" hidden="1" customHeight="1">
      <c r="A645" s="236" t="s">
        <v>682</v>
      </c>
      <c r="B645" s="109"/>
      <c r="C645" s="235"/>
      <c r="D645" s="235"/>
    </row>
    <row r="646" spans="1:4" ht="20.100000000000001" hidden="1" customHeight="1">
      <c r="A646" s="236" t="s">
        <v>683</v>
      </c>
      <c r="B646" s="109"/>
      <c r="C646" s="235"/>
      <c r="D646" s="235"/>
    </row>
    <row r="647" spans="1:4" ht="20.100000000000001" customHeight="1">
      <c r="A647" s="236" t="s">
        <v>684</v>
      </c>
      <c r="B647" s="109">
        <f>4685+836</f>
        <v>5521</v>
      </c>
      <c r="C647" s="235">
        <v>4685</v>
      </c>
      <c r="D647" s="235">
        <v>836</v>
      </c>
    </row>
    <row r="648" spans="1:4" ht="20.100000000000001" customHeight="1">
      <c r="A648" s="236" t="s">
        <v>685</v>
      </c>
      <c r="B648" s="109">
        <f>SUM(B649:B651)</f>
        <v>290</v>
      </c>
      <c r="C648" s="235">
        <f>SUM(C649:C651)</f>
        <v>260</v>
      </c>
      <c r="D648" s="235">
        <v>30</v>
      </c>
    </row>
    <row r="649" spans="1:4" ht="20.100000000000001" hidden="1" customHeight="1">
      <c r="A649" s="236" t="s">
        <v>686</v>
      </c>
      <c r="B649" s="109"/>
      <c r="C649" s="235"/>
      <c r="D649" s="235"/>
    </row>
    <row r="650" spans="1:4" ht="20.100000000000001" hidden="1" customHeight="1">
      <c r="A650" s="236" t="s">
        <v>687</v>
      </c>
      <c r="B650" s="109"/>
      <c r="C650" s="235"/>
      <c r="D650" s="235"/>
    </row>
    <row r="651" spans="1:4" ht="20.100000000000001" customHeight="1">
      <c r="A651" s="236" t="s">
        <v>688</v>
      </c>
      <c r="B651" s="109">
        <f>260+30</f>
        <v>290</v>
      </c>
      <c r="C651" s="235">
        <v>260</v>
      </c>
      <c r="D651" s="235">
        <v>30</v>
      </c>
    </row>
    <row r="652" spans="1:4" ht="20.100000000000001" customHeight="1">
      <c r="A652" s="236" t="s">
        <v>689</v>
      </c>
      <c r="B652" s="109">
        <f>SUM(B653:B663)</f>
        <v>4952</v>
      </c>
      <c r="C652" s="235">
        <f>SUM(C653:C663)</f>
        <v>2917</v>
      </c>
      <c r="D652" s="235">
        <v>2035</v>
      </c>
    </row>
    <row r="653" spans="1:4" ht="20.100000000000001" customHeight="1">
      <c r="A653" s="236" t="s">
        <v>690</v>
      </c>
      <c r="B653" s="109">
        <v>790</v>
      </c>
      <c r="C653" s="235">
        <v>790</v>
      </c>
      <c r="D653" s="235"/>
    </row>
    <row r="654" spans="1:4" ht="20.100000000000001" customHeight="1">
      <c r="A654" s="236" t="s">
        <v>691</v>
      </c>
      <c r="B654" s="109">
        <v>227</v>
      </c>
      <c r="C654" s="235">
        <v>227</v>
      </c>
      <c r="D654" s="235"/>
    </row>
    <row r="655" spans="1:4" ht="20.100000000000001" hidden="1" customHeight="1">
      <c r="A655" s="236" t="s">
        <v>692</v>
      </c>
      <c r="B655" s="109"/>
      <c r="C655" s="235"/>
      <c r="D655" s="235"/>
    </row>
    <row r="656" spans="1:4" ht="20.100000000000001" hidden="1" customHeight="1">
      <c r="A656" s="236" t="s">
        <v>693</v>
      </c>
      <c r="B656" s="109"/>
      <c r="C656" s="235"/>
      <c r="D656" s="235"/>
    </row>
    <row r="657" spans="1:4" ht="20.100000000000001" customHeight="1">
      <c r="A657" s="236" t="s">
        <v>694</v>
      </c>
      <c r="B657" s="109">
        <v>182</v>
      </c>
      <c r="C657" s="235">
        <v>182</v>
      </c>
      <c r="D657" s="235"/>
    </row>
    <row r="658" spans="1:4" ht="20.100000000000001" customHeight="1">
      <c r="A658" s="236" t="s">
        <v>695</v>
      </c>
      <c r="B658" s="109">
        <v>725</v>
      </c>
      <c r="C658" s="235">
        <v>725</v>
      </c>
      <c r="D658" s="235"/>
    </row>
    <row r="659" spans="1:4" ht="20.100000000000001" customHeight="1">
      <c r="A659" s="236" t="s">
        <v>696</v>
      </c>
      <c r="B659" s="109">
        <v>45</v>
      </c>
      <c r="C659" s="235">
        <v>45</v>
      </c>
      <c r="D659" s="235"/>
    </row>
    <row r="660" spans="1:4" ht="20.100000000000001" customHeight="1">
      <c r="A660" s="236" t="s">
        <v>697</v>
      </c>
      <c r="B660" s="109">
        <v>378</v>
      </c>
      <c r="C660" s="235">
        <v>378</v>
      </c>
      <c r="D660" s="235"/>
    </row>
    <row r="661" spans="1:4" ht="20.100000000000001" customHeight="1">
      <c r="A661" s="236" t="s">
        <v>698</v>
      </c>
      <c r="B661" s="109">
        <v>230</v>
      </c>
      <c r="C661" s="235">
        <v>230</v>
      </c>
      <c r="D661" s="235"/>
    </row>
    <row r="662" spans="1:4" ht="20.100000000000001" hidden="1" customHeight="1">
      <c r="A662" s="236" t="s">
        <v>699</v>
      </c>
      <c r="B662" s="109"/>
      <c r="C662" s="235"/>
      <c r="D662" s="235"/>
    </row>
    <row r="663" spans="1:4" ht="20.100000000000001" customHeight="1">
      <c r="A663" s="236" t="s">
        <v>700</v>
      </c>
      <c r="B663" s="109">
        <f>340+2035</f>
        <v>2375</v>
      </c>
      <c r="C663" s="235">
        <v>340</v>
      </c>
      <c r="D663" s="235">
        <v>2035</v>
      </c>
    </row>
    <row r="664" spans="1:4" ht="20.100000000000001" customHeight="1">
      <c r="A664" s="236" t="s">
        <v>701</v>
      </c>
      <c r="B664" s="109">
        <f>SUM(B665:B666)</f>
        <v>1099</v>
      </c>
      <c r="C664" s="235">
        <f>SUM(C665:C666)</f>
        <v>1025</v>
      </c>
      <c r="D664" s="235">
        <v>74</v>
      </c>
    </row>
    <row r="665" spans="1:4" ht="20.100000000000001" hidden="1" customHeight="1">
      <c r="A665" s="236" t="s">
        <v>702</v>
      </c>
      <c r="B665" s="109"/>
      <c r="C665" s="235"/>
      <c r="D665" s="235"/>
    </row>
    <row r="666" spans="1:4" ht="20.100000000000001" customHeight="1">
      <c r="A666" s="236" t="s">
        <v>703</v>
      </c>
      <c r="B666" s="109">
        <f>1025+74</f>
        <v>1099</v>
      </c>
      <c r="C666" s="235">
        <v>1025</v>
      </c>
      <c r="D666" s="235">
        <v>74</v>
      </c>
    </row>
    <row r="667" spans="1:4" ht="20.100000000000001" customHeight="1">
      <c r="A667" s="236" t="s">
        <v>704</v>
      </c>
      <c r="B667" s="109">
        <f>SUM(B668:B670)</f>
        <v>774</v>
      </c>
      <c r="C667" s="235">
        <f>SUM(C668:C670)</f>
        <v>774</v>
      </c>
      <c r="D667" s="235">
        <f>SUM(D668:D670)</f>
        <v>0</v>
      </c>
    </row>
    <row r="668" spans="1:4" ht="20.100000000000001" customHeight="1">
      <c r="A668" s="236" t="s">
        <v>705</v>
      </c>
      <c r="B668" s="109">
        <v>138</v>
      </c>
      <c r="C668" s="235">
        <v>138</v>
      </c>
      <c r="D668" s="235"/>
    </row>
    <row r="669" spans="1:4" ht="20.100000000000001" hidden="1" customHeight="1">
      <c r="A669" s="236" t="s">
        <v>706</v>
      </c>
      <c r="B669" s="109"/>
      <c r="C669" s="235"/>
      <c r="D669" s="235"/>
    </row>
    <row r="670" spans="1:4" ht="20.100000000000001" customHeight="1">
      <c r="A670" s="236" t="s">
        <v>707</v>
      </c>
      <c r="B670" s="109">
        <v>636</v>
      </c>
      <c r="C670" s="235">
        <v>636</v>
      </c>
      <c r="D670" s="235"/>
    </row>
    <row r="671" spans="1:4" ht="20.100000000000001" customHeight="1">
      <c r="A671" s="236" t="s">
        <v>708</v>
      </c>
      <c r="B671" s="109">
        <f>SUM(B672:B675)</f>
        <v>3636</v>
      </c>
      <c r="C671" s="235">
        <f>SUM(C672:C675)</f>
        <v>3636</v>
      </c>
      <c r="D671" s="235">
        <f>SUM(D672:D675)</f>
        <v>0</v>
      </c>
    </row>
    <row r="672" spans="1:4" ht="20.100000000000001" customHeight="1">
      <c r="A672" s="236" t="s">
        <v>709</v>
      </c>
      <c r="B672" s="109">
        <v>2097</v>
      </c>
      <c r="C672" s="235">
        <v>2097</v>
      </c>
      <c r="D672" s="235"/>
    </row>
    <row r="673" spans="1:4" ht="20.100000000000001" customHeight="1">
      <c r="A673" s="236" t="s">
        <v>710</v>
      </c>
      <c r="B673" s="109">
        <v>1531</v>
      </c>
      <c r="C673" s="235">
        <v>1531</v>
      </c>
      <c r="D673" s="235"/>
    </row>
    <row r="674" spans="1:4" ht="20.100000000000001" hidden="1" customHeight="1">
      <c r="A674" s="236" t="s">
        <v>711</v>
      </c>
      <c r="B674" s="109"/>
      <c r="C674" s="235"/>
      <c r="D674" s="235"/>
    </row>
    <row r="675" spans="1:4" ht="20.100000000000001" customHeight="1">
      <c r="A675" s="236" t="s">
        <v>712</v>
      </c>
      <c r="B675" s="109">
        <v>8</v>
      </c>
      <c r="C675" s="235">
        <v>8</v>
      </c>
      <c r="D675" s="235"/>
    </row>
    <row r="676" spans="1:4" ht="20.100000000000001" customHeight="1">
      <c r="A676" s="236" t="s">
        <v>713</v>
      </c>
      <c r="B676" s="109">
        <f>SUM(B677:B679)</f>
        <v>15775</v>
      </c>
      <c r="C676" s="235">
        <f>SUM(C677:C679)</f>
        <v>3624</v>
      </c>
      <c r="D676" s="235">
        <v>12151</v>
      </c>
    </row>
    <row r="677" spans="1:4" ht="20.100000000000001" customHeight="1">
      <c r="A677" s="236" t="s">
        <v>714</v>
      </c>
      <c r="B677" s="109">
        <v>2000</v>
      </c>
      <c r="C677" s="235">
        <v>2000</v>
      </c>
      <c r="D677" s="235"/>
    </row>
    <row r="678" spans="1:4" ht="20.100000000000001" customHeight="1">
      <c r="A678" s="236" t="s">
        <v>715</v>
      </c>
      <c r="B678" s="109">
        <f>1624+12151</f>
        <v>13775</v>
      </c>
      <c r="C678" s="235">
        <v>1624</v>
      </c>
      <c r="D678" s="235">
        <v>12151</v>
      </c>
    </row>
    <row r="679" spans="1:4" ht="20.100000000000001" hidden="1" customHeight="1">
      <c r="A679" s="236" t="s">
        <v>716</v>
      </c>
      <c r="B679" s="109"/>
      <c r="C679" s="235"/>
      <c r="D679" s="235"/>
    </row>
    <row r="680" spans="1:4" ht="20.100000000000001" customHeight="1">
      <c r="A680" s="236" t="s">
        <v>717</v>
      </c>
      <c r="B680" s="109">
        <f>SUM(B681:B683)</f>
        <v>50</v>
      </c>
      <c r="C680" s="235">
        <f>SUM(C681:C683)</f>
        <v>50</v>
      </c>
      <c r="D680" s="235">
        <f>SUM(D681:D683)</f>
        <v>0</v>
      </c>
    </row>
    <row r="681" spans="1:4" ht="20.100000000000001" customHeight="1">
      <c r="A681" s="236" t="s">
        <v>718</v>
      </c>
      <c r="B681" s="109">
        <v>50</v>
      </c>
      <c r="C681" s="235">
        <v>50</v>
      </c>
      <c r="D681" s="235"/>
    </row>
    <row r="682" spans="1:4" ht="20.100000000000001" hidden="1" customHeight="1">
      <c r="A682" s="236" t="s">
        <v>719</v>
      </c>
      <c r="B682" s="109"/>
      <c r="C682" s="235"/>
      <c r="D682" s="235"/>
    </row>
    <row r="683" spans="1:4" ht="20.100000000000001" hidden="1" customHeight="1">
      <c r="A683" s="236" t="s">
        <v>720</v>
      </c>
      <c r="B683" s="109"/>
      <c r="C683" s="235"/>
      <c r="D683" s="235"/>
    </row>
    <row r="684" spans="1:4" ht="20.100000000000001" hidden="1" customHeight="1">
      <c r="A684" s="236" t="s">
        <v>721</v>
      </c>
      <c r="B684" s="109">
        <f>SUM(B685:B686)</f>
        <v>0</v>
      </c>
      <c r="C684" s="235">
        <f>SUM(C685:C686)</f>
        <v>0</v>
      </c>
      <c r="D684" s="235">
        <f>SUM(D685:D686)</f>
        <v>0</v>
      </c>
    </row>
    <row r="685" spans="1:4" ht="20.100000000000001" hidden="1" customHeight="1">
      <c r="A685" s="236" t="s">
        <v>722</v>
      </c>
      <c r="B685" s="109"/>
      <c r="C685" s="235"/>
      <c r="D685" s="235"/>
    </row>
    <row r="686" spans="1:4" ht="20.100000000000001" hidden="1" customHeight="1">
      <c r="A686" s="236" t="s">
        <v>723</v>
      </c>
      <c r="B686" s="109"/>
      <c r="C686" s="235"/>
      <c r="D686" s="235"/>
    </row>
    <row r="687" spans="1:4" ht="20.100000000000001" customHeight="1">
      <c r="A687" s="236" t="s">
        <v>724</v>
      </c>
      <c r="B687" s="109">
        <f>SUM(B688:B695)</f>
        <v>812</v>
      </c>
      <c r="C687" s="235">
        <f>SUM(C688:C695)</f>
        <v>736</v>
      </c>
      <c r="D687" s="235">
        <v>76</v>
      </c>
    </row>
    <row r="688" spans="1:4" ht="20.100000000000001" customHeight="1">
      <c r="A688" s="236" t="s">
        <v>228</v>
      </c>
      <c r="B688" s="109">
        <v>409</v>
      </c>
      <c r="C688" s="235">
        <v>409</v>
      </c>
      <c r="D688" s="235"/>
    </row>
    <row r="689" spans="1:4" ht="20.100000000000001" hidden="1" customHeight="1">
      <c r="A689" s="236" t="s">
        <v>229</v>
      </c>
      <c r="B689" s="109"/>
      <c r="C689" s="235"/>
      <c r="D689" s="235"/>
    </row>
    <row r="690" spans="1:4" ht="20.100000000000001" hidden="1" customHeight="1">
      <c r="A690" s="236" t="s">
        <v>230</v>
      </c>
      <c r="B690" s="109"/>
      <c r="C690" s="235"/>
      <c r="D690" s="235"/>
    </row>
    <row r="691" spans="1:4" ht="20.100000000000001" customHeight="1">
      <c r="A691" s="236" t="s">
        <v>269</v>
      </c>
      <c r="B691" s="109">
        <v>198</v>
      </c>
      <c r="C691" s="235">
        <v>198</v>
      </c>
      <c r="D691" s="235"/>
    </row>
    <row r="692" spans="1:4" ht="20.100000000000001" hidden="1" customHeight="1">
      <c r="A692" s="236" t="s">
        <v>725</v>
      </c>
      <c r="B692" s="109"/>
      <c r="C692" s="235"/>
      <c r="D692" s="235"/>
    </row>
    <row r="693" spans="1:4" ht="20.100000000000001" customHeight="1">
      <c r="A693" s="236" t="s">
        <v>726</v>
      </c>
      <c r="B693" s="109">
        <v>39</v>
      </c>
      <c r="C693" s="235">
        <v>39</v>
      </c>
      <c r="D693" s="235"/>
    </row>
    <row r="694" spans="1:4" ht="20.100000000000001" hidden="1" customHeight="1">
      <c r="A694" s="236" t="s">
        <v>237</v>
      </c>
      <c r="B694" s="109"/>
      <c r="C694" s="235"/>
      <c r="D694" s="235"/>
    </row>
    <row r="695" spans="1:4" ht="20.100000000000001" customHeight="1">
      <c r="A695" s="236" t="s">
        <v>727</v>
      </c>
      <c r="B695" s="109">
        <f>90+76</f>
        <v>166</v>
      </c>
      <c r="C695" s="235">
        <v>90</v>
      </c>
      <c r="D695" s="235">
        <v>76</v>
      </c>
    </row>
    <row r="696" spans="1:4" ht="20.100000000000001" customHeight="1">
      <c r="A696" s="236" t="s">
        <v>728</v>
      </c>
      <c r="B696" s="109">
        <v>1769</v>
      </c>
      <c r="C696" s="235">
        <v>1769</v>
      </c>
      <c r="D696" s="235">
        <v>0</v>
      </c>
    </row>
    <row r="697" spans="1:4" ht="20.100000000000001" customHeight="1">
      <c r="A697" s="236" t="s">
        <v>729</v>
      </c>
      <c r="B697" s="109">
        <f>2923+23</f>
        <v>2946</v>
      </c>
      <c r="C697" s="235">
        <v>2923</v>
      </c>
      <c r="D697" s="235">
        <v>23</v>
      </c>
    </row>
    <row r="698" spans="1:4" ht="20.100000000000001" customHeight="1">
      <c r="A698" s="234" t="s">
        <v>730</v>
      </c>
      <c r="B698" s="109">
        <f>B699+B709+B713+B722+B727+B734+B740+B743+B746+B747+B748+B754+B755+B756+B771</f>
        <v>17340</v>
      </c>
      <c r="C698" s="235">
        <f>C699+C709+C713+C722+C727+C734+C740+C743+C746+C747+C748+C754+C755+C756+C771</f>
        <v>8194</v>
      </c>
      <c r="D698" s="235">
        <f>D699+D709+D713+D722+D727+D734+D740+D743+D746+D747+D748+D754+D755+D756+D771</f>
        <v>9146</v>
      </c>
    </row>
    <row r="699" spans="1:4" ht="20.100000000000001" customHeight="1">
      <c r="A699" s="236" t="s">
        <v>731</v>
      </c>
      <c r="B699" s="109">
        <f>SUM(B700:B708)</f>
        <v>1047</v>
      </c>
      <c r="C699" s="235">
        <f>SUM(C700:C708)</f>
        <v>1047</v>
      </c>
      <c r="D699" s="235">
        <f>SUM(D700:D708)</f>
        <v>0</v>
      </c>
    </row>
    <row r="700" spans="1:4" ht="20.100000000000001" customHeight="1">
      <c r="A700" s="236" t="s">
        <v>228</v>
      </c>
      <c r="B700" s="109">
        <v>520</v>
      </c>
      <c r="C700" s="235">
        <v>520</v>
      </c>
      <c r="D700" s="235"/>
    </row>
    <row r="701" spans="1:4" ht="20.100000000000001" hidden="1" customHeight="1">
      <c r="A701" s="236" t="s">
        <v>229</v>
      </c>
      <c r="B701" s="109"/>
      <c r="C701" s="235"/>
      <c r="D701" s="235"/>
    </row>
    <row r="702" spans="1:4" ht="20.100000000000001" hidden="1" customHeight="1">
      <c r="A702" s="236" t="s">
        <v>230</v>
      </c>
      <c r="B702" s="109"/>
      <c r="C702" s="235"/>
      <c r="D702" s="235"/>
    </row>
    <row r="703" spans="1:4" ht="20.100000000000001" customHeight="1">
      <c r="A703" s="236" t="s">
        <v>732</v>
      </c>
      <c r="B703" s="109">
        <v>5</v>
      </c>
      <c r="C703" s="235">
        <v>5</v>
      </c>
      <c r="D703" s="235"/>
    </row>
    <row r="704" spans="1:4" ht="20.100000000000001" hidden="1" customHeight="1">
      <c r="A704" s="236" t="s">
        <v>733</v>
      </c>
      <c r="B704" s="109"/>
      <c r="C704" s="235"/>
      <c r="D704" s="235"/>
    </row>
    <row r="705" spans="1:4" ht="20.100000000000001" hidden="1" customHeight="1">
      <c r="A705" s="236" t="s">
        <v>734</v>
      </c>
      <c r="B705" s="109"/>
      <c r="C705" s="235"/>
      <c r="D705" s="235"/>
    </row>
    <row r="706" spans="1:4" ht="20.100000000000001" customHeight="1">
      <c r="A706" s="236" t="s">
        <v>735</v>
      </c>
      <c r="B706" s="109">
        <v>40</v>
      </c>
      <c r="C706" s="235">
        <v>40</v>
      </c>
      <c r="D706" s="235"/>
    </row>
    <row r="707" spans="1:4" ht="20.100000000000001" hidden="1" customHeight="1">
      <c r="A707" s="236" t="s">
        <v>736</v>
      </c>
      <c r="B707" s="109"/>
      <c r="C707" s="235"/>
      <c r="D707" s="235"/>
    </row>
    <row r="708" spans="1:4" ht="20.100000000000001" customHeight="1">
      <c r="A708" s="236" t="s">
        <v>737</v>
      </c>
      <c r="B708" s="109">
        <v>482</v>
      </c>
      <c r="C708" s="235">
        <v>482</v>
      </c>
      <c r="D708" s="235"/>
    </row>
    <row r="709" spans="1:4" ht="20.100000000000001" customHeight="1">
      <c r="A709" s="236" t="s">
        <v>738</v>
      </c>
      <c r="B709" s="109">
        <f>SUM(B710:B712)</f>
        <v>545</v>
      </c>
      <c r="C709" s="235">
        <f>SUM(C710:C712)</f>
        <v>545</v>
      </c>
      <c r="D709" s="235">
        <f>SUM(D710:D712)</f>
        <v>0</v>
      </c>
    </row>
    <row r="710" spans="1:4" ht="20.100000000000001" customHeight="1">
      <c r="A710" s="236" t="s">
        <v>739</v>
      </c>
      <c r="B710" s="109">
        <v>10</v>
      </c>
      <c r="C710" s="235">
        <v>10</v>
      </c>
      <c r="D710" s="235"/>
    </row>
    <row r="711" spans="1:4" ht="20.100000000000001" hidden="1" customHeight="1">
      <c r="A711" s="236" t="s">
        <v>740</v>
      </c>
      <c r="B711" s="109"/>
      <c r="C711" s="235"/>
      <c r="D711" s="235"/>
    </row>
    <row r="712" spans="1:4" ht="20.100000000000001" customHeight="1">
      <c r="A712" s="236" t="s">
        <v>741</v>
      </c>
      <c r="B712" s="109">
        <v>535</v>
      </c>
      <c r="C712" s="235">
        <v>535</v>
      </c>
      <c r="D712" s="235"/>
    </row>
    <row r="713" spans="1:4" ht="20.100000000000001" customHeight="1">
      <c r="A713" s="236" t="s">
        <v>742</v>
      </c>
      <c r="B713" s="109">
        <f>SUM(B714:B721)</f>
        <v>9102</v>
      </c>
      <c r="C713" s="235">
        <f>SUM(C714:C721)</f>
        <v>6587</v>
      </c>
      <c r="D713" s="235">
        <v>2515</v>
      </c>
    </row>
    <row r="714" spans="1:4" ht="20.100000000000001" customHeight="1">
      <c r="A714" s="236" t="s">
        <v>743</v>
      </c>
      <c r="B714" s="109">
        <v>6217</v>
      </c>
      <c r="C714" s="235">
        <v>6217</v>
      </c>
      <c r="D714" s="235"/>
    </row>
    <row r="715" spans="1:4" ht="20.100000000000001" customHeight="1">
      <c r="A715" s="236" t="s">
        <v>744</v>
      </c>
      <c r="B715" s="109">
        <v>94</v>
      </c>
      <c r="C715" s="235">
        <v>94</v>
      </c>
      <c r="D715" s="235"/>
    </row>
    <row r="716" spans="1:4" ht="20.100000000000001" hidden="1" customHeight="1">
      <c r="A716" s="236" t="s">
        <v>745</v>
      </c>
      <c r="B716" s="109"/>
      <c r="C716" s="235"/>
      <c r="D716" s="235"/>
    </row>
    <row r="717" spans="1:4" ht="20.100000000000001" hidden="1" customHeight="1">
      <c r="A717" s="236" t="s">
        <v>746</v>
      </c>
      <c r="B717" s="109"/>
      <c r="C717" s="235"/>
      <c r="D717" s="235"/>
    </row>
    <row r="718" spans="1:4" ht="20.100000000000001" hidden="1" customHeight="1">
      <c r="A718" s="236" t="s">
        <v>747</v>
      </c>
      <c r="B718" s="109"/>
      <c r="C718" s="235"/>
      <c r="D718" s="235"/>
    </row>
    <row r="719" spans="1:4" ht="20.100000000000001" customHeight="1">
      <c r="A719" s="236" t="s">
        <v>748</v>
      </c>
      <c r="B719" s="109">
        <v>126</v>
      </c>
      <c r="C719" s="235">
        <v>126</v>
      </c>
      <c r="D719" s="235"/>
    </row>
    <row r="720" spans="1:4" ht="20.100000000000001" hidden="1" customHeight="1">
      <c r="A720" s="236" t="s">
        <v>749</v>
      </c>
      <c r="B720" s="109"/>
      <c r="C720" s="235"/>
      <c r="D720" s="235"/>
    </row>
    <row r="721" spans="1:4" ht="20.100000000000001" customHeight="1">
      <c r="A721" s="236" t="s">
        <v>750</v>
      </c>
      <c r="B721" s="109">
        <f>150+2515</f>
        <v>2665</v>
      </c>
      <c r="C721" s="235">
        <v>150</v>
      </c>
      <c r="D721" s="235">
        <v>2515</v>
      </c>
    </row>
    <row r="722" spans="1:4" ht="20.100000000000001" hidden="1" customHeight="1">
      <c r="A722" s="236" t="s">
        <v>751</v>
      </c>
      <c r="B722" s="109">
        <f>SUM(B723:B726)</f>
        <v>0</v>
      </c>
      <c r="C722" s="235">
        <f>SUM(C723:C726)</f>
        <v>0</v>
      </c>
      <c r="D722" s="235">
        <f>SUM(D723:D726)</f>
        <v>0</v>
      </c>
    </row>
    <row r="723" spans="1:4" ht="20.100000000000001" hidden="1" customHeight="1">
      <c r="A723" s="236" t="s">
        <v>752</v>
      </c>
      <c r="B723" s="109"/>
      <c r="C723" s="235"/>
      <c r="D723" s="235"/>
    </row>
    <row r="724" spans="1:4" ht="20.100000000000001" hidden="1" customHeight="1">
      <c r="A724" s="236" t="s">
        <v>753</v>
      </c>
      <c r="B724" s="109"/>
      <c r="C724" s="235"/>
      <c r="D724" s="235"/>
    </row>
    <row r="725" spans="1:4" ht="20.100000000000001" hidden="1" customHeight="1">
      <c r="A725" s="236" t="s">
        <v>754</v>
      </c>
      <c r="B725" s="109"/>
      <c r="C725" s="235"/>
      <c r="D725" s="235"/>
    </row>
    <row r="726" spans="1:4" ht="20.100000000000001" hidden="1" customHeight="1">
      <c r="A726" s="236" t="s">
        <v>755</v>
      </c>
      <c r="B726" s="109"/>
      <c r="C726" s="235"/>
      <c r="D726" s="235"/>
    </row>
    <row r="727" spans="1:4" ht="20.100000000000001" hidden="1" customHeight="1">
      <c r="A727" s="236" t="s">
        <v>756</v>
      </c>
      <c r="B727" s="109">
        <f>SUM(B728:B733)</f>
        <v>0</v>
      </c>
      <c r="C727" s="235">
        <f>SUM(C728:C733)</f>
        <v>0</v>
      </c>
      <c r="D727" s="235">
        <f>SUM(D728:D733)</f>
        <v>0</v>
      </c>
    </row>
    <row r="728" spans="1:4" ht="20.100000000000001" hidden="1" customHeight="1">
      <c r="A728" s="236" t="s">
        <v>757</v>
      </c>
      <c r="B728" s="109"/>
      <c r="C728" s="235"/>
      <c r="D728" s="235"/>
    </row>
    <row r="729" spans="1:4" ht="20.100000000000001" hidden="1" customHeight="1">
      <c r="A729" s="236" t="s">
        <v>758</v>
      </c>
      <c r="B729" s="109"/>
      <c r="C729" s="235"/>
      <c r="D729" s="235"/>
    </row>
    <row r="730" spans="1:4" ht="20.100000000000001" hidden="1" customHeight="1">
      <c r="A730" s="236" t="s">
        <v>759</v>
      </c>
      <c r="B730" s="109"/>
      <c r="C730" s="235"/>
      <c r="D730" s="235"/>
    </row>
    <row r="731" spans="1:4" ht="20.100000000000001" hidden="1" customHeight="1">
      <c r="A731" s="236" t="s">
        <v>760</v>
      </c>
      <c r="B731" s="109"/>
      <c r="C731" s="235"/>
      <c r="D731" s="235"/>
    </row>
    <row r="732" spans="1:4" ht="20.100000000000001" hidden="1" customHeight="1">
      <c r="A732" s="236" t="s">
        <v>761</v>
      </c>
      <c r="B732" s="109"/>
      <c r="C732" s="235"/>
      <c r="D732" s="235"/>
    </row>
    <row r="733" spans="1:4" ht="20.100000000000001" hidden="1" customHeight="1">
      <c r="A733" s="236" t="s">
        <v>762</v>
      </c>
      <c r="B733" s="109"/>
      <c r="C733" s="235"/>
      <c r="D733" s="235"/>
    </row>
    <row r="734" spans="1:4" ht="20.100000000000001" hidden="1" customHeight="1">
      <c r="A734" s="236" t="s">
        <v>763</v>
      </c>
      <c r="B734" s="109">
        <f>SUM(B735:B739)</f>
        <v>0</v>
      </c>
      <c r="C734" s="235">
        <f>SUM(C735:C739)</f>
        <v>0</v>
      </c>
      <c r="D734" s="235">
        <f>SUM(D735:D739)</f>
        <v>0</v>
      </c>
    </row>
    <row r="735" spans="1:4" ht="20.100000000000001" hidden="1" customHeight="1">
      <c r="A735" s="236" t="s">
        <v>764</v>
      </c>
      <c r="B735" s="109"/>
      <c r="C735" s="235"/>
      <c r="D735" s="235"/>
    </row>
    <row r="736" spans="1:4" ht="20.100000000000001" hidden="1" customHeight="1">
      <c r="A736" s="236" t="s">
        <v>765</v>
      </c>
      <c r="B736" s="109"/>
      <c r="C736" s="235"/>
      <c r="D736" s="235"/>
    </row>
    <row r="737" spans="1:4" ht="20.100000000000001" hidden="1" customHeight="1">
      <c r="A737" s="236" t="s">
        <v>766</v>
      </c>
      <c r="B737" s="109"/>
      <c r="C737" s="235"/>
      <c r="D737" s="235"/>
    </row>
    <row r="738" spans="1:4" ht="20.100000000000001" hidden="1" customHeight="1">
      <c r="A738" s="236" t="s">
        <v>767</v>
      </c>
      <c r="B738" s="109"/>
      <c r="C738" s="235"/>
      <c r="D738" s="235"/>
    </row>
    <row r="739" spans="1:4" ht="20.100000000000001" hidden="1" customHeight="1">
      <c r="A739" s="236" t="s">
        <v>768</v>
      </c>
      <c r="B739" s="109"/>
      <c r="C739" s="235"/>
      <c r="D739" s="235"/>
    </row>
    <row r="740" spans="1:4" ht="20.100000000000001" hidden="1" customHeight="1">
      <c r="A740" s="236" t="s">
        <v>769</v>
      </c>
      <c r="B740" s="109">
        <f>SUM(B741:B742)</f>
        <v>0</v>
      </c>
      <c r="C740" s="235">
        <f>SUM(C741:C742)</f>
        <v>0</v>
      </c>
      <c r="D740" s="235">
        <f>SUM(D741:D742)</f>
        <v>0</v>
      </c>
    </row>
    <row r="741" spans="1:4" ht="20.100000000000001" hidden="1" customHeight="1">
      <c r="A741" s="236" t="s">
        <v>770</v>
      </c>
      <c r="B741" s="109"/>
      <c r="C741" s="235"/>
      <c r="D741" s="235"/>
    </row>
    <row r="742" spans="1:4" ht="20.100000000000001" hidden="1" customHeight="1">
      <c r="A742" s="236" t="s">
        <v>771</v>
      </c>
      <c r="B742" s="109"/>
      <c r="C742" s="235"/>
      <c r="D742" s="235"/>
    </row>
    <row r="743" spans="1:4" ht="20.100000000000001" hidden="1" customHeight="1">
      <c r="A743" s="236" t="s">
        <v>772</v>
      </c>
      <c r="B743" s="109">
        <f>SUM(B744:B745)</f>
        <v>0</v>
      </c>
      <c r="C743" s="235">
        <f>SUM(C744:C745)</f>
        <v>0</v>
      </c>
      <c r="D743" s="235">
        <f>SUM(D744:D745)</f>
        <v>0</v>
      </c>
    </row>
    <row r="744" spans="1:4" ht="20.100000000000001" hidden="1" customHeight="1">
      <c r="A744" s="236" t="s">
        <v>773</v>
      </c>
      <c r="B744" s="109"/>
      <c r="C744" s="235"/>
      <c r="D744" s="235"/>
    </row>
    <row r="745" spans="1:4" ht="20.100000000000001" hidden="1" customHeight="1">
      <c r="A745" s="236" t="s">
        <v>774</v>
      </c>
      <c r="B745" s="109"/>
      <c r="C745" s="235"/>
      <c r="D745" s="235"/>
    </row>
    <row r="746" spans="1:4" ht="20.100000000000001" hidden="1" customHeight="1">
      <c r="A746" s="236" t="s">
        <v>775</v>
      </c>
      <c r="B746" s="109">
        <v>0</v>
      </c>
      <c r="C746" s="235">
        <v>0</v>
      </c>
      <c r="D746" s="235">
        <v>0</v>
      </c>
    </row>
    <row r="747" spans="1:4" ht="20.100000000000001" hidden="1" customHeight="1">
      <c r="A747" s="236" t="s">
        <v>776</v>
      </c>
      <c r="B747" s="109">
        <v>0</v>
      </c>
      <c r="C747" s="235">
        <v>0</v>
      </c>
      <c r="D747" s="235">
        <v>0</v>
      </c>
    </row>
    <row r="748" spans="1:4" ht="20.100000000000001" customHeight="1">
      <c r="A748" s="236" t="s">
        <v>777</v>
      </c>
      <c r="B748" s="109">
        <f>SUM(B749:B753)</f>
        <v>15</v>
      </c>
      <c r="C748" s="235">
        <f>SUM(C749:C753)</f>
        <v>15</v>
      </c>
      <c r="D748" s="235">
        <f>SUM(D749:D753)</f>
        <v>0</v>
      </c>
    </row>
    <row r="749" spans="1:4" ht="20.100000000000001" hidden="1" customHeight="1">
      <c r="A749" s="236" t="s">
        <v>778</v>
      </c>
      <c r="B749" s="109"/>
      <c r="C749" s="235"/>
      <c r="D749" s="235"/>
    </row>
    <row r="750" spans="1:4" ht="20.100000000000001" hidden="1" customHeight="1">
      <c r="A750" s="236" t="s">
        <v>779</v>
      </c>
      <c r="B750" s="109"/>
      <c r="C750" s="235"/>
      <c r="D750" s="235"/>
    </row>
    <row r="751" spans="1:4" ht="20.100000000000001" customHeight="1">
      <c r="A751" s="236" t="s">
        <v>780</v>
      </c>
      <c r="B751" s="109">
        <v>15</v>
      </c>
      <c r="C751" s="235">
        <v>15</v>
      </c>
      <c r="D751" s="235"/>
    </row>
    <row r="752" spans="1:4" ht="20.100000000000001" hidden="1" customHeight="1">
      <c r="A752" s="236" t="s">
        <v>781</v>
      </c>
      <c r="B752" s="109"/>
      <c r="C752" s="235"/>
      <c r="D752" s="235"/>
    </row>
    <row r="753" spans="1:4" ht="20.100000000000001" hidden="1" customHeight="1">
      <c r="A753" s="236" t="s">
        <v>782</v>
      </c>
      <c r="B753" s="109"/>
      <c r="C753" s="235"/>
      <c r="D753" s="235"/>
    </row>
    <row r="754" spans="1:4" ht="20.100000000000001" hidden="1" customHeight="1">
      <c r="A754" s="236" t="s">
        <v>783</v>
      </c>
      <c r="B754" s="109">
        <v>0</v>
      </c>
      <c r="C754" s="235">
        <v>0</v>
      </c>
      <c r="D754" s="235">
        <v>0</v>
      </c>
    </row>
    <row r="755" spans="1:4" ht="20.100000000000001" hidden="1" customHeight="1">
      <c r="A755" s="236" t="s">
        <v>784</v>
      </c>
      <c r="B755" s="109">
        <v>0</v>
      </c>
      <c r="C755" s="235">
        <v>0</v>
      </c>
      <c r="D755" s="235">
        <v>0</v>
      </c>
    </row>
    <row r="756" spans="1:4" ht="20.100000000000001" hidden="1" customHeight="1">
      <c r="A756" s="236" t="s">
        <v>785</v>
      </c>
      <c r="B756" s="109">
        <f>SUM(B757:B770)</f>
        <v>0</v>
      </c>
      <c r="C756" s="235">
        <f>SUM(C757:C770)</f>
        <v>0</v>
      </c>
      <c r="D756" s="235">
        <f>SUM(D757:D770)</f>
        <v>0</v>
      </c>
    </row>
    <row r="757" spans="1:4" ht="20.100000000000001" hidden="1" customHeight="1">
      <c r="A757" s="236" t="s">
        <v>228</v>
      </c>
      <c r="B757" s="109"/>
      <c r="C757" s="235"/>
      <c r="D757" s="235"/>
    </row>
    <row r="758" spans="1:4" ht="20.100000000000001" hidden="1" customHeight="1">
      <c r="A758" s="236" t="s">
        <v>229</v>
      </c>
      <c r="B758" s="109"/>
      <c r="C758" s="235"/>
      <c r="D758" s="235"/>
    </row>
    <row r="759" spans="1:4" ht="20.100000000000001" hidden="1" customHeight="1">
      <c r="A759" s="236" t="s">
        <v>230</v>
      </c>
      <c r="B759" s="109"/>
      <c r="C759" s="235"/>
      <c r="D759" s="235"/>
    </row>
    <row r="760" spans="1:4" ht="20.100000000000001" hidden="1" customHeight="1">
      <c r="A760" s="236" t="s">
        <v>786</v>
      </c>
      <c r="B760" s="109"/>
      <c r="C760" s="235"/>
      <c r="D760" s="235"/>
    </row>
    <row r="761" spans="1:4" ht="20.100000000000001" hidden="1" customHeight="1">
      <c r="A761" s="236" t="s">
        <v>787</v>
      </c>
      <c r="B761" s="109"/>
      <c r="C761" s="235"/>
      <c r="D761" s="235"/>
    </row>
    <row r="762" spans="1:4" ht="20.100000000000001" hidden="1" customHeight="1">
      <c r="A762" s="236" t="s">
        <v>788</v>
      </c>
      <c r="B762" s="109"/>
      <c r="C762" s="235"/>
      <c r="D762" s="235"/>
    </row>
    <row r="763" spans="1:4" ht="20.100000000000001" hidden="1" customHeight="1">
      <c r="A763" s="236" t="s">
        <v>789</v>
      </c>
      <c r="B763" s="109"/>
      <c r="C763" s="235"/>
      <c r="D763" s="235"/>
    </row>
    <row r="764" spans="1:4" ht="20.100000000000001" hidden="1" customHeight="1">
      <c r="A764" s="236" t="s">
        <v>790</v>
      </c>
      <c r="B764" s="109"/>
      <c r="C764" s="235"/>
      <c r="D764" s="235"/>
    </row>
    <row r="765" spans="1:4" ht="20.100000000000001" hidden="1" customHeight="1">
      <c r="A765" s="236" t="s">
        <v>791</v>
      </c>
      <c r="B765" s="109"/>
      <c r="C765" s="235"/>
      <c r="D765" s="235"/>
    </row>
    <row r="766" spans="1:4" ht="20.100000000000001" hidden="1" customHeight="1">
      <c r="A766" s="236" t="s">
        <v>792</v>
      </c>
      <c r="B766" s="109"/>
      <c r="C766" s="235"/>
      <c r="D766" s="235"/>
    </row>
    <row r="767" spans="1:4" ht="20.100000000000001" hidden="1" customHeight="1">
      <c r="A767" s="236" t="s">
        <v>269</v>
      </c>
      <c r="B767" s="109"/>
      <c r="C767" s="235"/>
      <c r="D767" s="235"/>
    </row>
    <row r="768" spans="1:4" ht="20.100000000000001" hidden="1" customHeight="1">
      <c r="A768" s="236" t="s">
        <v>793</v>
      </c>
      <c r="B768" s="109"/>
      <c r="C768" s="235"/>
      <c r="D768" s="235"/>
    </row>
    <row r="769" spans="1:4" ht="20.100000000000001" hidden="1" customHeight="1">
      <c r="A769" s="236" t="s">
        <v>237</v>
      </c>
      <c r="B769" s="109"/>
      <c r="C769" s="235"/>
      <c r="D769" s="235"/>
    </row>
    <row r="770" spans="1:4" ht="20.100000000000001" hidden="1" customHeight="1">
      <c r="A770" s="236" t="s">
        <v>794</v>
      </c>
      <c r="B770" s="109"/>
      <c r="C770" s="235"/>
      <c r="D770" s="235"/>
    </row>
    <row r="771" spans="1:4" ht="20.100000000000001" hidden="1" customHeight="1">
      <c r="A771" s="236" t="s">
        <v>795</v>
      </c>
      <c r="B771" s="109">
        <f>SUM(C771:D771)</f>
        <v>6631</v>
      </c>
      <c r="C771" s="235">
        <v>0</v>
      </c>
      <c r="D771" s="235">
        <f>1631+5000</f>
        <v>6631</v>
      </c>
    </row>
    <row r="772" spans="1:4" ht="20.100000000000001" customHeight="1">
      <c r="A772" s="234" t="s">
        <v>796</v>
      </c>
      <c r="B772" s="109">
        <f>B773+B784+B785+B788+B789+B790</f>
        <v>22281</v>
      </c>
      <c r="C772" s="235">
        <f>C773+C784+C785+C788+C789+C790</f>
        <v>16781</v>
      </c>
      <c r="D772" s="235">
        <f>D773+D784+D785+D788+D789+D790</f>
        <v>5500</v>
      </c>
    </row>
    <row r="773" spans="1:4" ht="20.100000000000001" customHeight="1">
      <c r="A773" s="236" t="s">
        <v>797</v>
      </c>
      <c r="B773" s="109">
        <f>SUM(B774:B783)</f>
        <v>3286</v>
      </c>
      <c r="C773" s="235">
        <f>SUM(C774:C783)</f>
        <v>3286</v>
      </c>
      <c r="D773" s="235">
        <f>SUM(D774:D783)</f>
        <v>0</v>
      </c>
    </row>
    <row r="774" spans="1:4" ht="20.100000000000001" customHeight="1">
      <c r="A774" s="236" t="s">
        <v>228</v>
      </c>
      <c r="B774" s="109">
        <v>1347</v>
      </c>
      <c r="C774" s="235">
        <v>1347</v>
      </c>
      <c r="D774" s="235"/>
    </row>
    <row r="775" spans="1:4" ht="20.100000000000001" hidden="1" customHeight="1">
      <c r="A775" s="236" t="s">
        <v>229</v>
      </c>
      <c r="B775" s="109"/>
      <c r="C775" s="235"/>
      <c r="D775" s="235"/>
    </row>
    <row r="776" spans="1:4" ht="20.100000000000001" hidden="1" customHeight="1">
      <c r="A776" s="236" t="s">
        <v>230</v>
      </c>
      <c r="B776" s="109"/>
      <c r="C776" s="235"/>
      <c r="D776" s="235"/>
    </row>
    <row r="777" spans="1:4" ht="20.100000000000001" customHeight="1">
      <c r="A777" s="236" t="s">
        <v>798</v>
      </c>
      <c r="B777" s="109">
        <v>391</v>
      </c>
      <c r="C777" s="235">
        <v>391</v>
      </c>
      <c r="D777" s="235"/>
    </row>
    <row r="778" spans="1:4" ht="20.100000000000001" customHeight="1">
      <c r="A778" s="236" t="s">
        <v>799</v>
      </c>
      <c r="B778" s="109">
        <v>153</v>
      </c>
      <c r="C778" s="235">
        <v>153</v>
      </c>
      <c r="D778" s="235"/>
    </row>
    <row r="779" spans="1:4" ht="20.100000000000001" customHeight="1">
      <c r="A779" s="236" t="s">
        <v>800</v>
      </c>
      <c r="B779" s="109">
        <v>38</v>
      </c>
      <c r="C779" s="235">
        <v>38</v>
      </c>
      <c r="D779" s="235"/>
    </row>
    <row r="780" spans="1:4" ht="20.100000000000001" customHeight="1">
      <c r="A780" s="236" t="s">
        <v>801</v>
      </c>
      <c r="B780" s="109">
        <v>781</v>
      </c>
      <c r="C780" s="235">
        <v>781</v>
      </c>
      <c r="D780" s="235"/>
    </row>
    <row r="781" spans="1:4" ht="20.100000000000001" customHeight="1">
      <c r="A781" s="236" t="s">
        <v>802</v>
      </c>
      <c r="B781" s="109">
        <v>326</v>
      </c>
      <c r="C781" s="235">
        <v>326</v>
      </c>
      <c r="D781" s="235"/>
    </row>
    <row r="782" spans="1:4" ht="20.100000000000001" hidden="1" customHeight="1">
      <c r="A782" s="236" t="s">
        <v>803</v>
      </c>
      <c r="B782" s="109"/>
      <c r="C782" s="235"/>
      <c r="D782" s="235"/>
    </row>
    <row r="783" spans="1:4" ht="20.100000000000001" customHeight="1">
      <c r="A783" s="236" t="s">
        <v>804</v>
      </c>
      <c r="B783" s="109">
        <v>250</v>
      </c>
      <c r="C783" s="235">
        <v>250</v>
      </c>
      <c r="D783" s="235"/>
    </row>
    <row r="784" spans="1:4" ht="20.100000000000001" hidden="1" customHeight="1">
      <c r="A784" s="236" t="s">
        <v>805</v>
      </c>
      <c r="B784" s="109">
        <v>0</v>
      </c>
      <c r="C784" s="235">
        <v>0</v>
      </c>
      <c r="D784" s="235">
        <v>0</v>
      </c>
    </row>
    <row r="785" spans="1:4" ht="20.100000000000001" customHeight="1">
      <c r="A785" s="236" t="s">
        <v>806</v>
      </c>
      <c r="B785" s="109">
        <f>SUM(B786:B787)</f>
        <v>13995</v>
      </c>
      <c r="C785" s="235">
        <f>SUM(C786:C787)</f>
        <v>13495</v>
      </c>
      <c r="D785" s="235">
        <v>500</v>
      </c>
    </row>
    <row r="786" spans="1:4" ht="20.100000000000001" hidden="1" customHeight="1">
      <c r="A786" s="236" t="s">
        <v>807</v>
      </c>
      <c r="B786" s="109"/>
      <c r="C786" s="235"/>
      <c r="D786" s="235"/>
    </row>
    <row r="787" spans="1:4" ht="20.100000000000001" customHeight="1">
      <c r="A787" s="236" t="s">
        <v>808</v>
      </c>
      <c r="B787" s="109">
        <f>13495+500</f>
        <v>13995</v>
      </c>
      <c r="C787" s="235">
        <v>13495</v>
      </c>
      <c r="D787" s="235">
        <v>500</v>
      </c>
    </row>
    <row r="788" spans="1:4" ht="20.100000000000001" hidden="1" customHeight="1">
      <c r="A788" s="236" t="s">
        <v>809</v>
      </c>
      <c r="B788" s="109">
        <v>0</v>
      </c>
      <c r="C788" s="235">
        <v>0</v>
      </c>
      <c r="D788" s="235">
        <v>0</v>
      </c>
    </row>
    <row r="789" spans="1:4" ht="20.100000000000001" hidden="1" customHeight="1">
      <c r="A789" s="236" t="s">
        <v>810</v>
      </c>
      <c r="B789" s="109">
        <v>0</v>
      </c>
      <c r="C789" s="235">
        <v>0</v>
      </c>
      <c r="D789" s="235">
        <v>0</v>
      </c>
    </row>
    <row r="790" spans="1:4" ht="20.100000000000001" customHeight="1">
      <c r="A790" s="236" t="s">
        <v>811</v>
      </c>
      <c r="B790" s="109">
        <f>SUM(C790:D790)</f>
        <v>5000</v>
      </c>
      <c r="C790" s="235">
        <v>0</v>
      </c>
      <c r="D790" s="235">
        <v>5000</v>
      </c>
    </row>
    <row r="791" spans="1:4" ht="20.100000000000001" customHeight="1">
      <c r="A791" s="234" t="s">
        <v>812</v>
      </c>
      <c r="B791" s="109">
        <f>B792+B818+B843+B871+B882+B889+B896+B899</f>
        <v>22840</v>
      </c>
      <c r="C791" s="235">
        <f>C792+C818+C843+C871+C882+C889+C896+C899</f>
        <v>18836</v>
      </c>
      <c r="D791" s="235">
        <f>D792+D818+D843+D871+D882+D889+D896+D899</f>
        <v>4004</v>
      </c>
    </row>
    <row r="792" spans="1:4" ht="20.100000000000001" customHeight="1">
      <c r="A792" s="236" t="s">
        <v>813</v>
      </c>
      <c r="B792" s="109">
        <f>SUM(B793:B817)</f>
        <v>9112</v>
      </c>
      <c r="C792" s="235">
        <f>SUM(C793:C817)</f>
        <v>7276</v>
      </c>
      <c r="D792" s="235">
        <v>1836</v>
      </c>
    </row>
    <row r="793" spans="1:4" ht="20.100000000000001" customHeight="1">
      <c r="A793" s="236" t="s">
        <v>228</v>
      </c>
      <c r="B793" s="109">
        <v>942</v>
      </c>
      <c r="C793" s="235">
        <v>942</v>
      </c>
      <c r="D793" s="235"/>
    </row>
    <row r="794" spans="1:4" ht="20.100000000000001" hidden="1" customHeight="1">
      <c r="A794" s="236" t="s">
        <v>229</v>
      </c>
      <c r="B794" s="109"/>
      <c r="C794" s="235"/>
      <c r="D794" s="235"/>
    </row>
    <row r="795" spans="1:4" ht="20.100000000000001" hidden="1" customHeight="1">
      <c r="A795" s="236" t="s">
        <v>230</v>
      </c>
      <c r="B795" s="109"/>
      <c r="C795" s="235"/>
      <c r="D795" s="235"/>
    </row>
    <row r="796" spans="1:4" ht="20.100000000000001" customHeight="1">
      <c r="A796" s="236" t="s">
        <v>237</v>
      </c>
      <c r="B796" s="109">
        <v>1457</v>
      </c>
      <c r="C796" s="235">
        <v>1457</v>
      </c>
      <c r="D796" s="235"/>
    </row>
    <row r="797" spans="1:4" ht="20.100000000000001" hidden="1" customHeight="1">
      <c r="A797" s="236" t="s">
        <v>814</v>
      </c>
      <c r="B797" s="109"/>
      <c r="C797" s="235"/>
      <c r="D797" s="235"/>
    </row>
    <row r="798" spans="1:4" ht="20.100000000000001" customHeight="1">
      <c r="A798" s="236" t="s">
        <v>815</v>
      </c>
      <c r="B798" s="109">
        <v>5</v>
      </c>
      <c r="C798" s="235">
        <v>5</v>
      </c>
      <c r="D798" s="235"/>
    </row>
    <row r="799" spans="1:4" ht="20.100000000000001" hidden="1" customHeight="1">
      <c r="A799" s="236" t="s">
        <v>816</v>
      </c>
      <c r="B799" s="109"/>
      <c r="C799" s="235"/>
      <c r="D799" s="235"/>
    </row>
    <row r="800" spans="1:4" ht="20.100000000000001" customHeight="1">
      <c r="A800" s="236" t="s">
        <v>817</v>
      </c>
      <c r="B800" s="109">
        <v>10</v>
      </c>
      <c r="C800" s="235">
        <v>10</v>
      </c>
      <c r="D800" s="235"/>
    </row>
    <row r="801" spans="1:4" ht="20.100000000000001" customHeight="1">
      <c r="A801" s="236" t="s">
        <v>818</v>
      </c>
      <c r="B801" s="109">
        <v>10</v>
      </c>
      <c r="C801" s="235">
        <v>10</v>
      </c>
      <c r="D801" s="235"/>
    </row>
    <row r="802" spans="1:4" ht="20.100000000000001" hidden="1" customHeight="1">
      <c r="A802" s="236" t="s">
        <v>819</v>
      </c>
      <c r="B802" s="109"/>
      <c r="C802" s="235"/>
      <c r="D802" s="235"/>
    </row>
    <row r="803" spans="1:4" ht="20.100000000000001" hidden="1" customHeight="1">
      <c r="A803" s="236" t="s">
        <v>820</v>
      </c>
      <c r="B803" s="109"/>
      <c r="C803" s="235"/>
      <c r="D803" s="235"/>
    </row>
    <row r="804" spans="1:4" ht="20.100000000000001" hidden="1" customHeight="1">
      <c r="A804" s="236" t="s">
        <v>821</v>
      </c>
      <c r="B804" s="109"/>
      <c r="C804" s="235"/>
      <c r="D804" s="235"/>
    </row>
    <row r="805" spans="1:4" ht="20.100000000000001" hidden="1" customHeight="1">
      <c r="A805" s="236" t="s">
        <v>822</v>
      </c>
      <c r="B805" s="109"/>
      <c r="C805" s="235"/>
      <c r="D805" s="235"/>
    </row>
    <row r="806" spans="1:4" ht="20.100000000000001" hidden="1" customHeight="1">
      <c r="A806" s="236" t="s">
        <v>823</v>
      </c>
      <c r="B806" s="109"/>
      <c r="C806" s="235"/>
      <c r="D806" s="235"/>
    </row>
    <row r="807" spans="1:4" ht="20.100000000000001" hidden="1" customHeight="1">
      <c r="A807" s="236" t="s">
        <v>824</v>
      </c>
      <c r="B807" s="109"/>
      <c r="C807" s="235"/>
      <c r="D807" s="235"/>
    </row>
    <row r="808" spans="1:4" ht="20.100000000000001" hidden="1" customHeight="1">
      <c r="A808" s="236" t="s">
        <v>825</v>
      </c>
      <c r="B808" s="109"/>
      <c r="C808" s="235"/>
      <c r="D808" s="235"/>
    </row>
    <row r="809" spans="1:4" ht="20.100000000000001" customHeight="1">
      <c r="A809" s="236" t="s">
        <v>826</v>
      </c>
      <c r="B809" s="109">
        <v>9</v>
      </c>
      <c r="C809" s="235">
        <v>9</v>
      </c>
      <c r="D809" s="235"/>
    </row>
    <row r="810" spans="1:4" ht="20.100000000000001" hidden="1" customHeight="1">
      <c r="A810" s="236" t="s">
        <v>827</v>
      </c>
      <c r="B810" s="109"/>
      <c r="C810" s="235"/>
      <c r="D810" s="235"/>
    </row>
    <row r="811" spans="1:4" ht="20.100000000000001" hidden="1" customHeight="1">
      <c r="A811" s="236" t="s">
        <v>828</v>
      </c>
      <c r="B811" s="109"/>
      <c r="C811" s="235"/>
      <c r="D811" s="235"/>
    </row>
    <row r="812" spans="1:4" ht="20.100000000000001" hidden="1" customHeight="1">
      <c r="A812" s="236" t="s">
        <v>829</v>
      </c>
      <c r="B812" s="109"/>
      <c r="C812" s="235"/>
      <c r="D812" s="235"/>
    </row>
    <row r="813" spans="1:4" ht="20.100000000000001" hidden="1" customHeight="1">
      <c r="A813" s="236" t="s">
        <v>830</v>
      </c>
      <c r="B813" s="109"/>
      <c r="C813" s="235"/>
      <c r="D813" s="235"/>
    </row>
    <row r="814" spans="1:4" ht="20.100000000000001" hidden="1" customHeight="1">
      <c r="A814" s="236" t="s">
        <v>831</v>
      </c>
      <c r="B814" s="109"/>
      <c r="C814" s="235"/>
      <c r="D814" s="235"/>
    </row>
    <row r="815" spans="1:4" ht="20.100000000000001" hidden="1" customHeight="1">
      <c r="A815" s="236" t="s">
        <v>832</v>
      </c>
      <c r="B815" s="109"/>
      <c r="C815" s="235"/>
      <c r="D815" s="235"/>
    </row>
    <row r="816" spans="1:4" ht="20.100000000000001" hidden="1" customHeight="1">
      <c r="A816" s="236" t="s">
        <v>833</v>
      </c>
      <c r="B816" s="109"/>
      <c r="C816" s="235"/>
      <c r="D816" s="235"/>
    </row>
    <row r="817" spans="1:4" ht="20.100000000000001" customHeight="1">
      <c r="A817" s="236" t="s">
        <v>834</v>
      </c>
      <c r="B817" s="109">
        <f>4843+1836</f>
        <v>6679</v>
      </c>
      <c r="C817" s="235">
        <v>4843</v>
      </c>
      <c r="D817" s="235">
        <v>1836</v>
      </c>
    </row>
    <row r="818" spans="1:4" ht="20.100000000000001" customHeight="1">
      <c r="A818" s="236" t="s">
        <v>835</v>
      </c>
      <c r="B818" s="109">
        <f>SUM(B819:B842)</f>
        <v>2109</v>
      </c>
      <c r="C818" s="235">
        <f>SUM(C819:C842)</f>
        <v>1805</v>
      </c>
      <c r="D818" s="235">
        <v>304</v>
      </c>
    </row>
    <row r="819" spans="1:4" ht="20.100000000000001" customHeight="1">
      <c r="A819" s="236" t="s">
        <v>228</v>
      </c>
      <c r="B819" s="109">
        <v>944</v>
      </c>
      <c r="C819" s="235">
        <v>944</v>
      </c>
      <c r="D819" s="235"/>
    </row>
    <row r="820" spans="1:4" ht="20.100000000000001" hidden="1" customHeight="1">
      <c r="A820" s="236" t="s">
        <v>229</v>
      </c>
      <c r="B820" s="109"/>
      <c r="C820" s="235"/>
      <c r="D820" s="235"/>
    </row>
    <row r="821" spans="1:4" ht="20.100000000000001" hidden="1" customHeight="1">
      <c r="A821" s="236" t="s">
        <v>230</v>
      </c>
      <c r="B821" s="109"/>
      <c r="C821" s="235"/>
      <c r="D821" s="235"/>
    </row>
    <row r="822" spans="1:4" ht="20.100000000000001" customHeight="1">
      <c r="A822" s="236" t="s">
        <v>836</v>
      </c>
      <c r="B822" s="109">
        <v>400</v>
      </c>
      <c r="C822" s="235">
        <v>400</v>
      </c>
      <c r="D822" s="235"/>
    </row>
    <row r="823" spans="1:4" ht="20.100000000000001" hidden="1" customHeight="1">
      <c r="A823" s="236" t="s">
        <v>837</v>
      </c>
      <c r="B823" s="109"/>
      <c r="C823" s="235"/>
      <c r="D823" s="235"/>
    </row>
    <row r="824" spans="1:4" ht="20.100000000000001" hidden="1" customHeight="1">
      <c r="A824" s="236" t="s">
        <v>838</v>
      </c>
      <c r="B824" s="109"/>
      <c r="C824" s="235"/>
      <c r="D824" s="235"/>
    </row>
    <row r="825" spans="1:4" ht="20.100000000000001" hidden="1" customHeight="1">
      <c r="A825" s="236" t="s">
        <v>839</v>
      </c>
      <c r="B825" s="109"/>
      <c r="C825" s="235"/>
      <c r="D825" s="235"/>
    </row>
    <row r="826" spans="1:4" ht="20.100000000000001" customHeight="1">
      <c r="A826" s="236" t="s">
        <v>840</v>
      </c>
      <c r="B826" s="109">
        <v>235</v>
      </c>
      <c r="C826" s="235">
        <v>235</v>
      </c>
      <c r="D826" s="235"/>
    </row>
    <row r="827" spans="1:4" ht="20.100000000000001" hidden="1" customHeight="1">
      <c r="A827" s="236" t="s">
        <v>841</v>
      </c>
      <c r="B827" s="109"/>
      <c r="C827" s="235"/>
      <c r="D827" s="235"/>
    </row>
    <row r="828" spans="1:4" ht="20.100000000000001" hidden="1" customHeight="1">
      <c r="A828" s="236" t="s">
        <v>842</v>
      </c>
      <c r="B828" s="109"/>
      <c r="C828" s="235"/>
      <c r="D828" s="235"/>
    </row>
    <row r="829" spans="1:4" ht="20.100000000000001" hidden="1" customHeight="1">
      <c r="A829" s="236" t="s">
        <v>843</v>
      </c>
      <c r="B829" s="109"/>
      <c r="C829" s="235"/>
      <c r="D829" s="235"/>
    </row>
    <row r="830" spans="1:4" ht="20.100000000000001" hidden="1" customHeight="1">
      <c r="A830" s="236" t="s">
        <v>844</v>
      </c>
      <c r="B830" s="109"/>
      <c r="C830" s="235"/>
      <c r="D830" s="235"/>
    </row>
    <row r="831" spans="1:4" ht="20.100000000000001" hidden="1" customHeight="1">
      <c r="A831" s="236" t="s">
        <v>845</v>
      </c>
      <c r="B831" s="109"/>
      <c r="C831" s="235"/>
      <c r="D831" s="235"/>
    </row>
    <row r="832" spans="1:4" ht="20.100000000000001" hidden="1" customHeight="1">
      <c r="A832" s="236" t="s">
        <v>846</v>
      </c>
      <c r="B832" s="109"/>
      <c r="C832" s="235"/>
      <c r="D832" s="235"/>
    </row>
    <row r="833" spans="1:4" ht="20.100000000000001" hidden="1" customHeight="1">
      <c r="A833" s="236" t="s">
        <v>847</v>
      </c>
      <c r="B833" s="109"/>
      <c r="C833" s="235"/>
      <c r="D833" s="235"/>
    </row>
    <row r="834" spans="1:4" ht="20.100000000000001" hidden="1" customHeight="1">
      <c r="A834" s="236" t="s">
        <v>848</v>
      </c>
      <c r="B834" s="109"/>
      <c r="C834" s="235"/>
      <c r="D834" s="235"/>
    </row>
    <row r="835" spans="1:4" ht="20.100000000000001" hidden="1" customHeight="1">
      <c r="A835" s="236" t="s">
        <v>849</v>
      </c>
      <c r="B835" s="109"/>
      <c r="C835" s="235"/>
      <c r="D835" s="235"/>
    </row>
    <row r="836" spans="1:4" ht="20.100000000000001" hidden="1" customHeight="1">
      <c r="A836" s="236" t="s">
        <v>850</v>
      </c>
      <c r="B836" s="109"/>
      <c r="C836" s="235"/>
      <c r="D836" s="235"/>
    </row>
    <row r="837" spans="1:4" ht="20.100000000000001" hidden="1" customHeight="1">
      <c r="A837" s="236" t="s">
        <v>851</v>
      </c>
      <c r="B837" s="109"/>
      <c r="C837" s="235"/>
      <c r="D837" s="235"/>
    </row>
    <row r="838" spans="1:4" ht="20.100000000000001" hidden="1" customHeight="1">
      <c r="A838" s="236" t="s">
        <v>852</v>
      </c>
      <c r="B838" s="109"/>
      <c r="C838" s="235"/>
      <c r="D838" s="235"/>
    </row>
    <row r="839" spans="1:4" ht="20.100000000000001" hidden="1" customHeight="1">
      <c r="A839" s="236" t="s">
        <v>853</v>
      </c>
      <c r="B839" s="109"/>
      <c r="C839" s="235"/>
      <c r="D839" s="235"/>
    </row>
    <row r="840" spans="1:4" ht="20.100000000000001" hidden="1" customHeight="1">
      <c r="A840" s="236" t="s">
        <v>854</v>
      </c>
      <c r="B840" s="109"/>
      <c r="C840" s="235"/>
      <c r="D840" s="235"/>
    </row>
    <row r="841" spans="1:4" ht="20.100000000000001" hidden="1" customHeight="1">
      <c r="A841" s="236" t="s">
        <v>820</v>
      </c>
      <c r="B841" s="109"/>
      <c r="C841" s="235"/>
      <c r="D841" s="235"/>
    </row>
    <row r="842" spans="1:4" ht="20.100000000000001" customHeight="1">
      <c r="A842" s="236" t="s">
        <v>855</v>
      </c>
      <c r="B842" s="109">
        <f>226+304</f>
        <v>530</v>
      </c>
      <c r="C842" s="235">
        <v>226</v>
      </c>
      <c r="D842" s="235">
        <v>304</v>
      </c>
    </row>
    <row r="843" spans="1:4" ht="20.100000000000001" customHeight="1">
      <c r="A843" s="236" t="s">
        <v>856</v>
      </c>
      <c r="B843" s="109">
        <f>SUM(B844:B870)</f>
        <v>2741</v>
      </c>
      <c r="C843" s="235">
        <f>SUM(C844:C870)</f>
        <v>2216</v>
      </c>
      <c r="D843" s="235">
        <v>525</v>
      </c>
    </row>
    <row r="844" spans="1:4" ht="20.100000000000001" customHeight="1">
      <c r="A844" s="236" t="s">
        <v>228</v>
      </c>
      <c r="B844" s="109">
        <v>438</v>
      </c>
      <c r="C844" s="235">
        <v>438</v>
      </c>
      <c r="D844" s="235"/>
    </row>
    <row r="845" spans="1:4" ht="20.100000000000001" hidden="1" customHeight="1">
      <c r="A845" s="236" t="s">
        <v>229</v>
      </c>
      <c r="B845" s="109"/>
      <c r="C845" s="235"/>
      <c r="D845" s="235"/>
    </row>
    <row r="846" spans="1:4" ht="20.100000000000001" hidden="1" customHeight="1">
      <c r="A846" s="236" t="s">
        <v>230</v>
      </c>
      <c r="B846" s="109"/>
      <c r="C846" s="235"/>
      <c r="D846" s="235"/>
    </row>
    <row r="847" spans="1:4" ht="20.100000000000001" customHeight="1">
      <c r="A847" s="236" t="s">
        <v>857</v>
      </c>
      <c r="B847" s="109">
        <v>567</v>
      </c>
      <c r="C847" s="235">
        <v>567</v>
      </c>
      <c r="D847" s="235"/>
    </row>
    <row r="848" spans="1:4" ht="20.100000000000001" hidden="1" customHeight="1">
      <c r="A848" s="236" t="s">
        <v>858</v>
      </c>
      <c r="B848" s="109"/>
      <c r="C848" s="235"/>
      <c r="D848" s="235"/>
    </row>
    <row r="849" spans="1:4" ht="20.100000000000001" hidden="1" customHeight="1">
      <c r="A849" s="236" t="s">
        <v>859</v>
      </c>
      <c r="B849" s="109"/>
      <c r="C849" s="235"/>
      <c r="D849" s="235"/>
    </row>
    <row r="850" spans="1:4" ht="20.100000000000001" hidden="1" customHeight="1">
      <c r="A850" s="236" t="s">
        <v>860</v>
      </c>
      <c r="B850" s="109"/>
      <c r="C850" s="235"/>
      <c r="D850" s="235"/>
    </row>
    <row r="851" spans="1:4" ht="20.100000000000001" hidden="1" customHeight="1">
      <c r="A851" s="236" t="s">
        <v>861</v>
      </c>
      <c r="B851" s="109"/>
      <c r="C851" s="235"/>
      <c r="D851" s="235"/>
    </row>
    <row r="852" spans="1:4" ht="20.100000000000001" hidden="1" customHeight="1">
      <c r="A852" s="236" t="s">
        <v>862</v>
      </c>
      <c r="B852" s="109"/>
      <c r="C852" s="235"/>
      <c r="D852" s="235"/>
    </row>
    <row r="853" spans="1:4" ht="20.100000000000001" hidden="1" customHeight="1">
      <c r="A853" s="236" t="s">
        <v>863</v>
      </c>
      <c r="B853" s="109"/>
      <c r="C853" s="235"/>
      <c r="D853" s="235"/>
    </row>
    <row r="854" spans="1:4" ht="20.100000000000001" hidden="1" customHeight="1">
      <c r="A854" s="236" t="s">
        <v>864</v>
      </c>
      <c r="B854" s="109"/>
      <c r="C854" s="235"/>
      <c r="D854" s="235"/>
    </row>
    <row r="855" spans="1:4" ht="20.100000000000001" customHeight="1">
      <c r="A855" s="236" t="s">
        <v>865</v>
      </c>
      <c r="B855" s="109">
        <v>10</v>
      </c>
      <c r="C855" s="235">
        <v>10</v>
      </c>
      <c r="D855" s="235"/>
    </row>
    <row r="856" spans="1:4" ht="20.100000000000001" hidden="1" customHeight="1">
      <c r="A856" s="236" t="s">
        <v>866</v>
      </c>
      <c r="B856" s="109"/>
      <c r="C856" s="235"/>
      <c r="D856" s="235"/>
    </row>
    <row r="857" spans="1:4" ht="20.100000000000001" hidden="1" customHeight="1">
      <c r="A857" s="236" t="s">
        <v>867</v>
      </c>
      <c r="B857" s="109"/>
      <c r="C857" s="235"/>
      <c r="D857" s="235"/>
    </row>
    <row r="858" spans="1:4" ht="20.100000000000001" hidden="1" customHeight="1">
      <c r="A858" s="236" t="s">
        <v>868</v>
      </c>
      <c r="B858" s="109"/>
      <c r="C858" s="235"/>
      <c r="D858" s="235"/>
    </row>
    <row r="859" spans="1:4" ht="20.100000000000001" hidden="1" customHeight="1">
      <c r="A859" s="236" t="s">
        <v>869</v>
      </c>
      <c r="B859" s="109"/>
      <c r="C859" s="235"/>
      <c r="D859" s="235"/>
    </row>
    <row r="860" spans="1:4" ht="20.100000000000001" hidden="1" customHeight="1">
      <c r="A860" s="236" t="s">
        <v>870</v>
      </c>
      <c r="B860" s="109"/>
      <c r="C860" s="235"/>
      <c r="D860" s="235"/>
    </row>
    <row r="861" spans="1:4" ht="20.100000000000001" hidden="1" customHeight="1">
      <c r="A861" s="236" t="s">
        <v>871</v>
      </c>
      <c r="B861" s="109"/>
      <c r="C861" s="235"/>
      <c r="D861" s="235"/>
    </row>
    <row r="862" spans="1:4" ht="20.100000000000001" hidden="1" customHeight="1">
      <c r="A862" s="236" t="s">
        <v>872</v>
      </c>
      <c r="B862" s="109"/>
      <c r="C862" s="235"/>
      <c r="D862" s="235"/>
    </row>
    <row r="863" spans="1:4" ht="20.100000000000001" hidden="1" customHeight="1">
      <c r="A863" s="236" t="s">
        <v>873</v>
      </c>
      <c r="B863" s="109"/>
      <c r="C863" s="235"/>
      <c r="D863" s="235"/>
    </row>
    <row r="864" spans="1:4" ht="20.100000000000001" hidden="1" customHeight="1">
      <c r="A864" s="236" t="s">
        <v>874</v>
      </c>
      <c r="B864" s="109"/>
      <c r="C864" s="235"/>
      <c r="D864" s="235"/>
    </row>
    <row r="865" spans="1:4" ht="20.100000000000001" hidden="1" customHeight="1">
      <c r="A865" s="236" t="s">
        <v>848</v>
      </c>
      <c r="B865" s="109"/>
      <c r="C865" s="235"/>
      <c r="D865" s="235"/>
    </row>
    <row r="866" spans="1:4" ht="20.100000000000001" hidden="1" customHeight="1">
      <c r="A866" s="236" t="s">
        <v>875</v>
      </c>
      <c r="B866" s="109"/>
      <c r="C866" s="235"/>
      <c r="D866" s="235"/>
    </row>
    <row r="867" spans="1:4" ht="20.100000000000001" hidden="1" customHeight="1">
      <c r="A867" s="236" t="s">
        <v>876</v>
      </c>
      <c r="B867" s="109"/>
      <c r="C867" s="235"/>
      <c r="D867" s="235"/>
    </row>
    <row r="868" spans="1:4" ht="20.100000000000001" hidden="1" customHeight="1">
      <c r="A868" s="236" t="s">
        <v>877</v>
      </c>
      <c r="B868" s="109"/>
      <c r="C868" s="235"/>
      <c r="D868" s="235"/>
    </row>
    <row r="869" spans="1:4" ht="20.100000000000001" hidden="1" customHeight="1">
      <c r="A869" s="236" t="s">
        <v>878</v>
      </c>
      <c r="B869" s="109"/>
      <c r="C869" s="235"/>
      <c r="D869" s="235"/>
    </row>
    <row r="870" spans="1:4" ht="20.100000000000001" customHeight="1">
      <c r="A870" s="236" t="s">
        <v>879</v>
      </c>
      <c r="B870" s="109">
        <f>1201+525</f>
        <v>1726</v>
      </c>
      <c r="C870" s="235">
        <v>1201</v>
      </c>
      <c r="D870" s="235">
        <v>525</v>
      </c>
    </row>
    <row r="871" spans="1:4" ht="20.100000000000001" customHeight="1">
      <c r="A871" s="236" t="s">
        <v>880</v>
      </c>
      <c r="B871" s="109">
        <f>SUM(B872:B881)</f>
        <v>6978</v>
      </c>
      <c r="C871" s="235">
        <f>SUM(C872:C881)</f>
        <v>6439</v>
      </c>
      <c r="D871" s="235">
        <v>539</v>
      </c>
    </row>
    <row r="872" spans="1:4" ht="20.100000000000001" customHeight="1">
      <c r="A872" s="236" t="s">
        <v>228</v>
      </c>
      <c r="B872" s="109">
        <v>135</v>
      </c>
      <c r="C872" s="235">
        <v>135</v>
      </c>
      <c r="D872" s="235"/>
    </row>
    <row r="873" spans="1:4" ht="20.100000000000001" hidden="1" customHeight="1">
      <c r="A873" s="236" t="s">
        <v>229</v>
      </c>
      <c r="B873" s="109"/>
      <c r="C873" s="235"/>
      <c r="D873" s="235"/>
    </row>
    <row r="874" spans="1:4" ht="20.100000000000001" hidden="1" customHeight="1">
      <c r="A874" s="236" t="s">
        <v>230</v>
      </c>
      <c r="B874" s="109"/>
      <c r="C874" s="235"/>
      <c r="D874" s="235"/>
    </row>
    <row r="875" spans="1:4" ht="20.100000000000001" hidden="1" customHeight="1">
      <c r="A875" s="236" t="s">
        <v>881</v>
      </c>
      <c r="B875" s="109"/>
      <c r="C875" s="235"/>
      <c r="D875" s="235"/>
    </row>
    <row r="876" spans="1:4" ht="20.100000000000001" customHeight="1">
      <c r="A876" s="236" t="s">
        <v>882</v>
      </c>
      <c r="B876" s="109">
        <v>5200</v>
      </c>
      <c r="C876" s="235">
        <v>5200</v>
      </c>
      <c r="D876" s="235"/>
    </row>
    <row r="877" spans="1:4" ht="20.100000000000001" hidden="1" customHeight="1">
      <c r="A877" s="236" t="s">
        <v>883</v>
      </c>
      <c r="B877" s="109"/>
      <c r="C877" s="235"/>
      <c r="D877" s="235"/>
    </row>
    <row r="878" spans="1:4" ht="20.100000000000001" hidden="1" customHeight="1">
      <c r="A878" s="236" t="s">
        <v>884</v>
      </c>
      <c r="B878" s="109"/>
      <c r="C878" s="235"/>
      <c r="D878" s="235"/>
    </row>
    <row r="879" spans="1:4" ht="20.100000000000001" hidden="1" customHeight="1">
      <c r="A879" s="236" t="s">
        <v>885</v>
      </c>
      <c r="B879" s="109"/>
      <c r="C879" s="235"/>
      <c r="D879" s="235"/>
    </row>
    <row r="880" spans="1:4" ht="20.100000000000001" hidden="1" customHeight="1">
      <c r="A880" s="236" t="s">
        <v>886</v>
      </c>
      <c r="B880" s="109"/>
      <c r="C880" s="235"/>
      <c r="D880" s="235"/>
    </row>
    <row r="881" spans="1:4" ht="20.100000000000001" customHeight="1">
      <c r="A881" s="236" t="s">
        <v>887</v>
      </c>
      <c r="B881" s="109">
        <f>1104+539</f>
        <v>1643</v>
      </c>
      <c r="C881" s="235">
        <v>1104</v>
      </c>
      <c r="D881" s="235">
        <v>539</v>
      </c>
    </row>
    <row r="882" spans="1:4" ht="20.100000000000001" customHeight="1">
      <c r="A882" s="236" t="s">
        <v>888</v>
      </c>
      <c r="B882" s="109">
        <f>SUM(B883:B888)</f>
        <v>300</v>
      </c>
      <c r="C882" s="235">
        <f>SUM(C883:C888)</f>
        <v>300</v>
      </c>
      <c r="D882" s="235">
        <f>SUM(D883:D888)</f>
        <v>0</v>
      </c>
    </row>
    <row r="883" spans="1:4" ht="20.100000000000001" hidden="1" customHeight="1">
      <c r="A883" s="236" t="s">
        <v>889</v>
      </c>
      <c r="B883" s="109"/>
      <c r="C883" s="235"/>
      <c r="D883" s="235"/>
    </row>
    <row r="884" spans="1:4" ht="20.100000000000001" hidden="1" customHeight="1">
      <c r="A884" s="236" t="s">
        <v>890</v>
      </c>
      <c r="B884" s="109"/>
      <c r="C884" s="235"/>
      <c r="D884" s="235"/>
    </row>
    <row r="885" spans="1:4" ht="20.100000000000001" hidden="1" customHeight="1">
      <c r="A885" s="236" t="s">
        <v>891</v>
      </c>
      <c r="B885" s="109"/>
      <c r="C885" s="235"/>
      <c r="D885" s="235"/>
    </row>
    <row r="886" spans="1:4" ht="20.100000000000001" hidden="1" customHeight="1">
      <c r="A886" s="236" t="s">
        <v>892</v>
      </c>
      <c r="B886" s="109"/>
      <c r="C886" s="235"/>
      <c r="D886" s="235"/>
    </row>
    <row r="887" spans="1:4" ht="20.100000000000001" hidden="1" customHeight="1">
      <c r="A887" s="236" t="s">
        <v>893</v>
      </c>
      <c r="B887" s="109"/>
      <c r="C887" s="235"/>
      <c r="D887" s="235"/>
    </row>
    <row r="888" spans="1:4" ht="20.100000000000001" customHeight="1">
      <c r="A888" s="236" t="s">
        <v>894</v>
      </c>
      <c r="B888" s="109">
        <v>300</v>
      </c>
      <c r="C888" s="235">
        <v>300</v>
      </c>
      <c r="D888" s="235"/>
    </row>
    <row r="889" spans="1:4" ht="20.100000000000001" customHeight="1">
      <c r="A889" s="236" t="s">
        <v>895</v>
      </c>
      <c r="B889" s="109">
        <f>SUM(B890:B895)</f>
        <v>1600</v>
      </c>
      <c r="C889" s="235">
        <f>SUM(C890:C895)</f>
        <v>800</v>
      </c>
      <c r="D889" s="235">
        <v>800</v>
      </c>
    </row>
    <row r="890" spans="1:4" ht="20.100000000000001" hidden="1" customHeight="1">
      <c r="A890" s="236" t="s">
        <v>896</v>
      </c>
      <c r="B890" s="109"/>
      <c r="C890" s="235"/>
      <c r="D890" s="235"/>
    </row>
    <row r="891" spans="1:4" ht="20.100000000000001" hidden="1" customHeight="1">
      <c r="A891" s="236" t="s">
        <v>897</v>
      </c>
      <c r="B891" s="109"/>
      <c r="C891" s="235"/>
      <c r="D891" s="235"/>
    </row>
    <row r="892" spans="1:4" ht="20.100000000000001" customHeight="1">
      <c r="A892" s="236" t="s">
        <v>898</v>
      </c>
      <c r="B892" s="109">
        <v>620</v>
      </c>
      <c r="C892" s="235">
        <v>620</v>
      </c>
      <c r="D892" s="235"/>
    </row>
    <row r="893" spans="1:4" ht="20.100000000000001" customHeight="1">
      <c r="A893" s="236" t="s">
        <v>899</v>
      </c>
      <c r="B893" s="109">
        <v>180</v>
      </c>
      <c r="C893" s="235">
        <v>180</v>
      </c>
      <c r="D893" s="235"/>
    </row>
    <row r="894" spans="1:4" ht="20.100000000000001" hidden="1" customHeight="1">
      <c r="A894" s="236" t="s">
        <v>900</v>
      </c>
      <c r="B894" s="109"/>
      <c r="C894" s="235"/>
      <c r="D894" s="235"/>
    </row>
    <row r="895" spans="1:4" ht="20.100000000000001" customHeight="1">
      <c r="A895" s="236" t="s">
        <v>901</v>
      </c>
      <c r="B895" s="109">
        <v>800</v>
      </c>
      <c r="C895" s="235"/>
      <c r="D895" s="235">
        <v>800</v>
      </c>
    </row>
    <row r="896" spans="1:4" ht="20.100000000000001" hidden="1" customHeight="1">
      <c r="A896" s="236" t="s">
        <v>902</v>
      </c>
      <c r="B896" s="109">
        <f>SUM(B897:B898)</f>
        <v>0</v>
      </c>
      <c r="C896" s="235">
        <f>SUM(C897:C898)</f>
        <v>0</v>
      </c>
      <c r="D896" s="235">
        <f>SUM(D897:D898)</f>
        <v>0</v>
      </c>
    </row>
    <row r="897" spans="1:4" ht="20.100000000000001" hidden="1" customHeight="1">
      <c r="A897" s="236" t="s">
        <v>903</v>
      </c>
      <c r="B897" s="109"/>
      <c r="C897" s="235"/>
      <c r="D897" s="235"/>
    </row>
    <row r="898" spans="1:4" ht="20.100000000000001" hidden="1" customHeight="1">
      <c r="A898" s="236" t="s">
        <v>904</v>
      </c>
      <c r="B898" s="109"/>
      <c r="C898" s="235"/>
      <c r="D898" s="235"/>
    </row>
    <row r="899" spans="1:4" ht="20.100000000000001" hidden="1" customHeight="1">
      <c r="A899" s="236" t="s">
        <v>905</v>
      </c>
      <c r="B899" s="109">
        <f>SUM(B900:B901)</f>
        <v>0</v>
      </c>
      <c r="C899" s="235">
        <f>SUM(C900:C901)</f>
        <v>0</v>
      </c>
      <c r="D899" s="235">
        <f>SUM(D900:D901)</f>
        <v>0</v>
      </c>
    </row>
    <row r="900" spans="1:4" ht="20.100000000000001" hidden="1" customHeight="1">
      <c r="A900" s="236" t="s">
        <v>906</v>
      </c>
      <c r="B900" s="109"/>
      <c r="C900" s="235"/>
      <c r="D900" s="235"/>
    </row>
    <row r="901" spans="1:4" ht="20.100000000000001" hidden="1" customHeight="1">
      <c r="A901" s="236" t="s">
        <v>907</v>
      </c>
      <c r="B901" s="109"/>
      <c r="C901" s="235"/>
      <c r="D901" s="235"/>
    </row>
    <row r="902" spans="1:4" ht="20.100000000000001" customHeight="1">
      <c r="A902" s="234" t="s">
        <v>908</v>
      </c>
      <c r="B902" s="109">
        <f>B903+B926+B936+B946+B951+B958+B963</f>
        <v>19538</v>
      </c>
      <c r="C902" s="235">
        <f>C903+C926+C936+C946+C951+C958+C963</f>
        <v>14290</v>
      </c>
      <c r="D902" s="235">
        <f>D903+D926+D936+D946+D951+D958+D963</f>
        <v>5248</v>
      </c>
    </row>
    <row r="903" spans="1:4" ht="20.100000000000001" customHeight="1">
      <c r="A903" s="236" t="s">
        <v>909</v>
      </c>
      <c r="B903" s="109">
        <f>SUM(B904:B925)</f>
        <v>10667</v>
      </c>
      <c r="C903" s="235">
        <f>SUM(C904:C925)</f>
        <v>8816</v>
      </c>
      <c r="D903" s="235">
        <v>1851</v>
      </c>
    </row>
    <row r="904" spans="1:4" ht="20.100000000000001" customHeight="1">
      <c r="A904" s="236" t="s">
        <v>228</v>
      </c>
      <c r="B904" s="109">
        <v>297</v>
      </c>
      <c r="C904" s="235">
        <v>297</v>
      </c>
      <c r="D904" s="235"/>
    </row>
    <row r="905" spans="1:4" ht="20.100000000000001" hidden="1" customHeight="1">
      <c r="A905" s="236" t="s">
        <v>229</v>
      </c>
      <c r="B905" s="109"/>
      <c r="C905" s="235"/>
      <c r="D905" s="235"/>
    </row>
    <row r="906" spans="1:4" ht="20.100000000000001" hidden="1" customHeight="1">
      <c r="A906" s="236" t="s">
        <v>230</v>
      </c>
      <c r="B906" s="109"/>
      <c r="C906" s="235"/>
      <c r="D906" s="235"/>
    </row>
    <row r="907" spans="1:4" ht="20.100000000000001" customHeight="1">
      <c r="A907" s="236" t="s">
        <v>910</v>
      </c>
      <c r="B907" s="109">
        <v>60</v>
      </c>
      <c r="C907" s="235">
        <v>60</v>
      </c>
      <c r="D907" s="235"/>
    </row>
    <row r="908" spans="1:4" ht="20.100000000000001" customHeight="1">
      <c r="A908" s="236" t="s">
        <v>911</v>
      </c>
      <c r="B908" s="109">
        <v>6045</v>
      </c>
      <c r="C908" s="235">
        <v>6045</v>
      </c>
      <c r="D908" s="235"/>
    </row>
    <row r="909" spans="1:4" ht="20.100000000000001" hidden="1" customHeight="1">
      <c r="A909" s="236" t="s">
        <v>912</v>
      </c>
      <c r="B909" s="109"/>
      <c r="C909" s="235"/>
      <c r="D909" s="235"/>
    </row>
    <row r="910" spans="1:4" ht="20.100000000000001" customHeight="1">
      <c r="A910" s="236" t="s">
        <v>913</v>
      </c>
      <c r="B910" s="109">
        <v>669</v>
      </c>
      <c r="C910" s="235">
        <v>669</v>
      </c>
      <c r="D910" s="235"/>
    </row>
    <row r="911" spans="1:4" ht="20.100000000000001" hidden="1" customHeight="1">
      <c r="A911" s="236" t="s">
        <v>914</v>
      </c>
      <c r="B911" s="109"/>
      <c r="C911" s="235"/>
      <c r="D911" s="235"/>
    </row>
    <row r="912" spans="1:4" ht="20.100000000000001" customHeight="1">
      <c r="A912" s="236" t="s">
        <v>915</v>
      </c>
      <c r="B912" s="109">
        <v>745</v>
      </c>
      <c r="C912" s="235">
        <v>745</v>
      </c>
      <c r="D912" s="235"/>
    </row>
    <row r="913" spans="1:4" ht="20.100000000000001" hidden="1" customHeight="1">
      <c r="A913" s="236" t="s">
        <v>916</v>
      </c>
      <c r="B913" s="109"/>
      <c r="C913" s="235"/>
      <c r="D913" s="235"/>
    </row>
    <row r="914" spans="1:4" ht="20.100000000000001" hidden="1" customHeight="1">
      <c r="A914" s="236" t="s">
        <v>917</v>
      </c>
      <c r="B914" s="109"/>
      <c r="C914" s="235"/>
      <c r="D914" s="235"/>
    </row>
    <row r="915" spans="1:4" ht="20.100000000000001" hidden="1" customHeight="1">
      <c r="A915" s="236" t="s">
        <v>918</v>
      </c>
      <c r="B915" s="109"/>
      <c r="C915" s="235"/>
      <c r="D915" s="235"/>
    </row>
    <row r="916" spans="1:4" ht="20.100000000000001" hidden="1" customHeight="1">
      <c r="A916" s="236" t="s">
        <v>919</v>
      </c>
      <c r="B916" s="109"/>
      <c r="C916" s="235"/>
      <c r="D916" s="235"/>
    </row>
    <row r="917" spans="1:4" ht="20.100000000000001" hidden="1" customHeight="1">
      <c r="A917" s="236" t="s">
        <v>920</v>
      </c>
      <c r="B917" s="109"/>
      <c r="C917" s="235"/>
      <c r="D917" s="235"/>
    </row>
    <row r="918" spans="1:4" ht="20.100000000000001" hidden="1" customHeight="1">
      <c r="A918" s="236" t="s">
        <v>921</v>
      </c>
      <c r="B918" s="109"/>
      <c r="C918" s="235"/>
      <c r="D918" s="235"/>
    </row>
    <row r="919" spans="1:4" ht="20.100000000000001" hidden="1" customHeight="1">
      <c r="A919" s="236" t="s">
        <v>922</v>
      </c>
      <c r="B919" s="109"/>
      <c r="C919" s="235"/>
      <c r="D919" s="235"/>
    </row>
    <row r="920" spans="1:4" ht="20.100000000000001" hidden="1" customHeight="1">
      <c r="A920" s="236" t="s">
        <v>923</v>
      </c>
      <c r="B920" s="109"/>
      <c r="C920" s="235"/>
      <c r="D920" s="235"/>
    </row>
    <row r="921" spans="1:4" ht="20.100000000000001" hidden="1" customHeight="1">
      <c r="A921" s="236" t="s">
        <v>924</v>
      </c>
      <c r="B921" s="109"/>
      <c r="C921" s="235"/>
      <c r="D921" s="235"/>
    </row>
    <row r="922" spans="1:4" ht="20.100000000000001" hidden="1" customHeight="1">
      <c r="A922" s="236" t="s">
        <v>925</v>
      </c>
      <c r="B922" s="109"/>
      <c r="C922" s="235"/>
      <c r="D922" s="235"/>
    </row>
    <row r="923" spans="1:4" ht="20.100000000000001" hidden="1" customHeight="1">
      <c r="A923" s="236" t="s">
        <v>926</v>
      </c>
      <c r="B923" s="109"/>
      <c r="C923" s="235"/>
      <c r="D923" s="235"/>
    </row>
    <row r="924" spans="1:4" ht="20.100000000000001" customHeight="1">
      <c r="A924" s="236" t="s">
        <v>927</v>
      </c>
      <c r="B924" s="109">
        <v>1000</v>
      </c>
      <c r="C924" s="235">
        <v>1000</v>
      </c>
      <c r="D924" s="235"/>
    </row>
    <row r="925" spans="1:4" ht="20.100000000000001" customHeight="1">
      <c r="A925" s="236" t="s">
        <v>928</v>
      </c>
      <c r="B925" s="109">
        <v>1851</v>
      </c>
      <c r="C925" s="235"/>
      <c r="D925" s="235">
        <v>1851</v>
      </c>
    </row>
    <row r="926" spans="1:4" ht="20.100000000000001" customHeight="1">
      <c r="A926" s="236" t="s">
        <v>929</v>
      </c>
      <c r="B926" s="109">
        <f>SUM(B927:B935)</f>
        <v>162</v>
      </c>
      <c r="C926" s="235">
        <f>SUM(C927:C935)</f>
        <v>162</v>
      </c>
      <c r="D926" s="235">
        <f>SUM(D927:D935)</f>
        <v>0</v>
      </c>
    </row>
    <row r="927" spans="1:4" ht="20.100000000000001" hidden="1" customHeight="1">
      <c r="A927" s="236" t="s">
        <v>228</v>
      </c>
      <c r="B927" s="109"/>
      <c r="C927" s="235"/>
      <c r="D927" s="235"/>
    </row>
    <row r="928" spans="1:4" ht="20.100000000000001" hidden="1" customHeight="1">
      <c r="A928" s="236" t="s">
        <v>229</v>
      </c>
      <c r="B928" s="109"/>
      <c r="C928" s="235"/>
      <c r="D928" s="235"/>
    </row>
    <row r="929" spans="1:4" ht="20.100000000000001" hidden="1" customHeight="1">
      <c r="A929" s="236" t="s">
        <v>230</v>
      </c>
      <c r="B929" s="109"/>
      <c r="C929" s="235"/>
      <c r="D929" s="235"/>
    </row>
    <row r="930" spans="1:4" ht="20.100000000000001" hidden="1" customHeight="1">
      <c r="A930" s="236" t="s">
        <v>930</v>
      </c>
      <c r="B930" s="109"/>
      <c r="C930" s="235"/>
      <c r="D930" s="235"/>
    </row>
    <row r="931" spans="1:4" ht="20.100000000000001" hidden="1" customHeight="1">
      <c r="A931" s="236" t="s">
        <v>931</v>
      </c>
      <c r="B931" s="109"/>
      <c r="C931" s="235"/>
      <c r="D931" s="235"/>
    </row>
    <row r="932" spans="1:4" ht="20.100000000000001" hidden="1" customHeight="1">
      <c r="A932" s="236" t="s">
        <v>932</v>
      </c>
      <c r="B932" s="109"/>
      <c r="C932" s="235"/>
      <c r="D932" s="235"/>
    </row>
    <row r="933" spans="1:4" ht="20.100000000000001" hidden="1" customHeight="1">
      <c r="A933" s="236" t="s">
        <v>933</v>
      </c>
      <c r="B933" s="109"/>
      <c r="C933" s="235"/>
      <c r="D933" s="235"/>
    </row>
    <row r="934" spans="1:4" ht="20.100000000000001" customHeight="1">
      <c r="A934" s="236" t="s">
        <v>934</v>
      </c>
      <c r="B934" s="109">
        <v>162</v>
      </c>
      <c r="C934" s="235">
        <v>162</v>
      </c>
      <c r="D934" s="235"/>
    </row>
    <row r="935" spans="1:4" ht="20.100000000000001" hidden="1" customHeight="1">
      <c r="A935" s="236" t="s">
        <v>935</v>
      </c>
      <c r="B935" s="109"/>
      <c r="C935" s="235"/>
      <c r="D935" s="235"/>
    </row>
    <row r="936" spans="1:4" ht="20.100000000000001" hidden="1" customHeight="1">
      <c r="A936" s="236" t="s">
        <v>936</v>
      </c>
      <c r="B936" s="109">
        <f>SUM(B937:B945)</f>
        <v>0</v>
      </c>
      <c r="C936" s="235">
        <f>SUM(C937:C945)</f>
        <v>0</v>
      </c>
      <c r="D936" s="235">
        <f>SUM(D937:D945)</f>
        <v>0</v>
      </c>
    </row>
    <row r="937" spans="1:4" ht="20.100000000000001" hidden="1" customHeight="1">
      <c r="A937" s="236" t="s">
        <v>228</v>
      </c>
      <c r="B937" s="109"/>
      <c r="C937" s="235"/>
      <c r="D937" s="235"/>
    </row>
    <row r="938" spans="1:4" ht="20.100000000000001" hidden="1" customHeight="1">
      <c r="A938" s="236" t="s">
        <v>229</v>
      </c>
      <c r="B938" s="109"/>
      <c r="C938" s="235"/>
      <c r="D938" s="235"/>
    </row>
    <row r="939" spans="1:4" ht="20.100000000000001" hidden="1" customHeight="1">
      <c r="A939" s="236" t="s">
        <v>230</v>
      </c>
      <c r="B939" s="109"/>
      <c r="C939" s="235"/>
      <c r="D939" s="235"/>
    </row>
    <row r="940" spans="1:4" ht="20.100000000000001" hidden="1" customHeight="1">
      <c r="A940" s="236" t="s">
        <v>937</v>
      </c>
      <c r="B940" s="109"/>
      <c r="C940" s="235"/>
      <c r="D940" s="235"/>
    </row>
    <row r="941" spans="1:4" ht="20.100000000000001" hidden="1" customHeight="1">
      <c r="A941" s="236" t="s">
        <v>938</v>
      </c>
      <c r="B941" s="109"/>
      <c r="C941" s="235"/>
      <c r="D941" s="235"/>
    </row>
    <row r="942" spans="1:4" ht="20.100000000000001" hidden="1" customHeight="1">
      <c r="A942" s="236" t="s">
        <v>939</v>
      </c>
      <c r="B942" s="109"/>
      <c r="C942" s="235"/>
      <c r="D942" s="235"/>
    </row>
    <row r="943" spans="1:4" ht="20.100000000000001" hidden="1" customHeight="1">
      <c r="A943" s="236" t="s">
        <v>940</v>
      </c>
      <c r="B943" s="109"/>
      <c r="C943" s="235"/>
      <c r="D943" s="235"/>
    </row>
    <row r="944" spans="1:4" ht="20.100000000000001" hidden="1" customHeight="1">
      <c r="A944" s="236" t="s">
        <v>941</v>
      </c>
      <c r="B944" s="109"/>
      <c r="C944" s="235"/>
      <c r="D944" s="235"/>
    </row>
    <row r="945" spans="1:4" ht="20.100000000000001" hidden="1" customHeight="1">
      <c r="A945" s="236" t="s">
        <v>942</v>
      </c>
      <c r="B945" s="109"/>
      <c r="C945" s="235"/>
      <c r="D945" s="235"/>
    </row>
    <row r="946" spans="1:4" ht="20.100000000000001" customHeight="1">
      <c r="A946" s="236" t="s">
        <v>943</v>
      </c>
      <c r="B946" s="109">
        <f>SUM(B947:B950)</f>
        <v>762</v>
      </c>
      <c r="C946" s="235">
        <f>SUM(C947:C950)</f>
        <v>0</v>
      </c>
      <c r="D946" s="235">
        <v>762</v>
      </c>
    </row>
    <row r="947" spans="1:4" ht="20.100000000000001" hidden="1" customHeight="1">
      <c r="A947" s="236" t="s">
        <v>944</v>
      </c>
      <c r="B947" s="109"/>
      <c r="C947" s="235"/>
      <c r="D947" s="235"/>
    </row>
    <row r="948" spans="1:4" ht="20.100000000000001" hidden="1" customHeight="1">
      <c r="A948" s="236" t="s">
        <v>945</v>
      </c>
      <c r="B948" s="109"/>
      <c r="C948" s="235"/>
      <c r="D948" s="235"/>
    </row>
    <row r="949" spans="1:4" ht="20.100000000000001" hidden="1" customHeight="1">
      <c r="A949" s="236" t="s">
        <v>946</v>
      </c>
      <c r="B949" s="109"/>
      <c r="C949" s="235"/>
      <c r="D949" s="235"/>
    </row>
    <row r="950" spans="1:4" ht="20.100000000000001" customHeight="1">
      <c r="A950" s="236" t="s">
        <v>947</v>
      </c>
      <c r="B950" s="109">
        <v>762</v>
      </c>
      <c r="C950" s="235"/>
      <c r="D950" s="235">
        <v>762</v>
      </c>
    </row>
    <row r="951" spans="1:4" ht="20.100000000000001" hidden="1" customHeight="1">
      <c r="A951" s="236" t="s">
        <v>948</v>
      </c>
      <c r="B951" s="109">
        <f>SUM(B952:B957)</f>
        <v>0</v>
      </c>
      <c r="C951" s="235">
        <f>SUM(C952:C957)</f>
        <v>0</v>
      </c>
      <c r="D951" s="235">
        <f>SUM(D952:D957)</f>
        <v>0</v>
      </c>
    </row>
    <row r="952" spans="1:4" ht="20.100000000000001" hidden="1" customHeight="1">
      <c r="A952" s="236" t="s">
        <v>228</v>
      </c>
      <c r="B952" s="109"/>
      <c r="C952" s="235"/>
      <c r="D952" s="235"/>
    </row>
    <row r="953" spans="1:4" ht="20.100000000000001" hidden="1" customHeight="1">
      <c r="A953" s="236" t="s">
        <v>229</v>
      </c>
      <c r="B953" s="109"/>
      <c r="C953" s="235"/>
      <c r="D953" s="235"/>
    </row>
    <row r="954" spans="1:4" ht="20.100000000000001" hidden="1" customHeight="1">
      <c r="A954" s="236" t="s">
        <v>230</v>
      </c>
      <c r="B954" s="109"/>
      <c r="C954" s="235"/>
      <c r="D954" s="235"/>
    </row>
    <row r="955" spans="1:4" ht="20.100000000000001" hidden="1" customHeight="1">
      <c r="A955" s="236" t="s">
        <v>934</v>
      </c>
      <c r="B955" s="109"/>
      <c r="C955" s="235"/>
      <c r="D955" s="235"/>
    </row>
    <row r="956" spans="1:4" ht="20.100000000000001" hidden="1" customHeight="1">
      <c r="A956" s="236" t="s">
        <v>949</v>
      </c>
      <c r="B956" s="109"/>
      <c r="C956" s="235"/>
      <c r="D956" s="235"/>
    </row>
    <row r="957" spans="1:4" ht="20.100000000000001" hidden="1" customHeight="1">
      <c r="A957" s="236" t="s">
        <v>950</v>
      </c>
      <c r="B957" s="109"/>
      <c r="C957" s="235"/>
      <c r="D957" s="235"/>
    </row>
    <row r="958" spans="1:4" ht="20.100000000000001" customHeight="1">
      <c r="A958" s="236" t="s">
        <v>951</v>
      </c>
      <c r="B958" s="109">
        <f>SUM(B959:B962)</f>
        <v>2635</v>
      </c>
      <c r="C958" s="235">
        <f>SUM(C959:C962)</f>
        <v>0</v>
      </c>
      <c r="D958" s="235">
        <v>2635</v>
      </c>
    </row>
    <row r="959" spans="1:4" ht="20.100000000000001" hidden="1" customHeight="1">
      <c r="A959" s="236" t="s">
        <v>952</v>
      </c>
      <c r="B959" s="109"/>
      <c r="C959" s="235"/>
      <c r="D959" s="235"/>
    </row>
    <row r="960" spans="1:4" ht="20.100000000000001" hidden="1" customHeight="1">
      <c r="A960" s="236" t="s">
        <v>953</v>
      </c>
      <c r="B960" s="109"/>
      <c r="C960" s="235"/>
      <c r="D960" s="235"/>
    </row>
    <row r="961" spans="1:4" ht="20.100000000000001" hidden="1" customHeight="1">
      <c r="A961" s="236" t="s">
        <v>954</v>
      </c>
      <c r="B961" s="109"/>
      <c r="C961" s="235"/>
      <c r="D961" s="235"/>
    </row>
    <row r="962" spans="1:4" ht="20.100000000000001" customHeight="1">
      <c r="A962" s="236" t="s">
        <v>955</v>
      </c>
      <c r="B962" s="109">
        <v>2635</v>
      </c>
      <c r="C962" s="235"/>
      <c r="D962" s="235">
        <v>2635</v>
      </c>
    </row>
    <row r="963" spans="1:4" ht="20.100000000000001" customHeight="1">
      <c r="A963" s="236" t="s">
        <v>956</v>
      </c>
      <c r="B963" s="109">
        <f>SUM(B964:B965)</f>
        <v>5312</v>
      </c>
      <c r="C963" s="235">
        <f>SUM(C964:C965)</f>
        <v>5312</v>
      </c>
      <c r="D963" s="235">
        <f>SUM(D964:D965)</f>
        <v>0</v>
      </c>
    </row>
    <row r="964" spans="1:4" ht="20.100000000000001" customHeight="1">
      <c r="A964" s="236" t="s">
        <v>957</v>
      </c>
      <c r="B964" s="109">
        <v>4500</v>
      </c>
      <c r="C964" s="235">
        <v>4500</v>
      </c>
      <c r="D964" s="235"/>
    </row>
    <row r="965" spans="1:4" ht="20.100000000000001" customHeight="1">
      <c r="A965" s="236" t="s">
        <v>958</v>
      </c>
      <c r="B965" s="109">
        <v>812</v>
      </c>
      <c r="C965" s="235">
        <v>812</v>
      </c>
      <c r="D965" s="235"/>
    </row>
    <row r="966" spans="1:4" ht="20.100000000000001" customHeight="1">
      <c r="A966" s="234" t="s">
        <v>959</v>
      </c>
      <c r="B966" s="109">
        <f>B967+B977+B993+B998+B1009+B1016+B1024</f>
        <v>8219</v>
      </c>
      <c r="C966" s="235">
        <f>C967+C977+C993+C998+C1009+C1016+C1024</f>
        <v>8206</v>
      </c>
      <c r="D966" s="235">
        <f>D967+D977+D993+D998+D1009+D1016+D1024</f>
        <v>13</v>
      </c>
    </row>
    <row r="967" spans="1:4" ht="20.100000000000001" hidden="1" customHeight="1">
      <c r="A967" s="236" t="s">
        <v>960</v>
      </c>
      <c r="B967" s="109">
        <f>SUM(B968:B976)</f>
        <v>0</v>
      </c>
      <c r="C967" s="235">
        <f>SUM(C968:C976)</f>
        <v>0</v>
      </c>
      <c r="D967" s="235">
        <f>SUM(D968:D976)</f>
        <v>0</v>
      </c>
    </row>
    <row r="968" spans="1:4" ht="20.100000000000001" hidden="1" customHeight="1">
      <c r="A968" s="236" t="s">
        <v>228</v>
      </c>
      <c r="B968" s="109"/>
      <c r="C968" s="235"/>
      <c r="D968" s="235"/>
    </row>
    <row r="969" spans="1:4" ht="20.100000000000001" hidden="1" customHeight="1">
      <c r="A969" s="236" t="s">
        <v>229</v>
      </c>
      <c r="B969" s="109"/>
      <c r="C969" s="235"/>
      <c r="D969" s="235"/>
    </row>
    <row r="970" spans="1:4" ht="20.100000000000001" hidden="1" customHeight="1">
      <c r="A970" s="236" t="s">
        <v>230</v>
      </c>
      <c r="B970" s="109"/>
      <c r="C970" s="235"/>
      <c r="D970" s="235"/>
    </row>
    <row r="971" spans="1:4" ht="20.100000000000001" hidden="1" customHeight="1">
      <c r="A971" s="236" t="s">
        <v>961</v>
      </c>
      <c r="B971" s="109"/>
      <c r="C971" s="235"/>
      <c r="D971" s="235"/>
    </row>
    <row r="972" spans="1:4" ht="20.100000000000001" hidden="1" customHeight="1">
      <c r="A972" s="236" t="s">
        <v>962</v>
      </c>
      <c r="B972" s="109"/>
      <c r="C972" s="235"/>
      <c r="D972" s="235"/>
    </row>
    <row r="973" spans="1:4" ht="20.100000000000001" hidden="1" customHeight="1">
      <c r="A973" s="236" t="s">
        <v>963</v>
      </c>
      <c r="B973" s="109"/>
      <c r="C973" s="235"/>
      <c r="D973" s="235"/>
    </row>
    <row r="974" spans="1:4" ht="20.100000000000001" hidden="1" customHeight="1">
      <c r="A974" s="236" t="s">
        <v>964</v>
      </c>
      <c r="B974" s="109"/>
      <c r="C974" s="235"/>
      <c r="D974" s="235"/>
    </row>
    <row r="975" spans="1:4" ht="20.100000000000001" hidden="1" customHeight="1">
      <c r="A975" s="236" t="s">
        <v>965</v>
      </c>
      <c r="B975" s="109"/>
      <c r="C975" s="235"/>
      <c r="D975" s="235"/>
    </row>
    <row r="976" spans="1:4" ht="20.100000000000001" hidden="1" customHeight="1">
      <c r="A976" s="236" t="s">
        <v>966</v>
      </c>
      <c r="B976" s="109"/>
      <c r="C976" s="235"/>
      <c r="D976" s="235"/>
    </row>
    <row r="977" spans="1:4" ht="20.100000000000001" hidden="1" customHeight="1">
      <c r="A977" s="236" t="s">
        <v>967</v>
      </c>
      <c r="B977" s="109">
        <f>SUM(B978:B992)</f>
        <v>0</v>
      </c>
      <c r="C977" s="235">
        <f>SUM(C978:C992)</f>
        <v>0</v>
      </c>
      <c r="D977" s="235">
        <f>SUM(D978:D992)</f>
        <v>0</v>
      </c>
    </row>
    <row r="978" spans="1:4" ht="20.100000000000001" hidden="1" customHeight="1">
      <c r="A978" s="236" t="s">
        <v>228</v>
      </c>
      <c r="B978" s="109"/>
      <c r="C978" s="235"/>
      <c r="D978" s="235"/>
    </row>
    <row r="979" spans="1:4" ht="20.100000000000001" hidden="1" customHeight="1">
      <c r="A979" s="236" t="s">
        <v>229</v>
      </c>
      <c r="B979" s="109"/>
      <c r="C979" s="235"/>
      <c r="D979" s="235"/>
    </row>
    <row r="980" spans="1:4" ht="20.100000000000001" hidden="1" customHeight="1">
      <c r="A980" s="236" t="s">
        <v>230</v>
      </c>
      <c r="B980" s="109"/>
      <c r="C980" s="235"/>
      <c r="D980" s="235"/>
    </row>
    <row r="981" spans="1:4" ht="20.100000000000001" hidden="1" customHeight="1">
      <c r="A981" s="236" t="s">
        <v>968</v>
      </c>
      <c r="B981" s="109"/>
      <c r="C981" s="235"/>
      <c r="D981" s="235"/>
    </row>
    <row r="982" spans="1:4" ht="20.100000000000001" hidden="1" customHeight="1">
      <c r="A982" s="236" t="s">
        <v>969</v>
      </c>
      <c r="B982" s="109"/>
      <c r="C982" s="235"/>
      <c r="D982" s="235"/>
    </row>
    <row r="983" spans="1:4" ht="20.100000000000001" hidden="1" customHeight="1">
      <c r="A983" s="236" t="s">
        <v>970</v>
      </c>
      <c r="B983" s="109"/>
      <c r="C983" s="235"/>
      <c r="D983" s="235"/>
    </row>
    <row r="984" spans="1:4" ht="20.100000000000001" hidden="1" customHeight="1">
      <c r="A984" s="236" t="s">
        <v>971</v>
      </c>
      <c r="B984" s="109"/>
      <c r="C984" s="235"/>
      <c r="D984" s="235"/>
    </row>
    <row r="985" spans="1:4" ht="20.100000000000001" hidden="1" customHeight="1">
      <c r="A985" s="236" t="s">
        <v>972</v>
      </c>
      <c r="B985" s="109"/>
      <c r="C985" s="235"/>
      <c r="D985" s="235"/>
    </row>
    <row r="986" spans="1:4" ht="20.100000000000001" hidden="1" customHeight="1">
      <c r="A986" s="236" t="s">
        <v>973</v>
      </c>
      <c r="B986" s="109"/>
      <c r="C986" s="235"/>
      <c r="D986" s="235"/>
    </row>
    <row r="987" spans="1:4" ht="20.100000000000001" hidden="1" customHeight="1">
      <c r="A987" s="236" t="s">
        <v>974</v>
      </c>
      <c r="B987" s="109"/>
      <c r="C987" s="235"/>
      <c r="D987" s="235"/>
    </row>
    <row r="988" spans="1:4" ht="20.100000000000001" hidden="1" customHeight="1">
      <c r="A988" s="236" t="s">
        <v>975</v>
      </c>
      <c r="B988" s="109"/>
      <c r="C988" s="235"/>
      <c r="D988" s="235"/>
    </row>
    <row r="989" spans="1:4" ht="20.100000000000001" hidden="1" customHeight="1">
      <c r="A989" s="236" t="s">
        <v>976</v>
      </c>
      <c r="B989" s="109"/>
      <c r="C989" s="235"/>
      <c r="D989" s="235"/>
    </row>
    <row r="990" spans="1:4" ht="20.100000000000001" hidden="1" customHeight="1">
      <c r="A990" s="236" t="s">
        <v>977</v>
      </c>
      <c r="B990" s="109"/>
      <c r="C990" s="235"/>
      <c r="D990" s="235"/>
    </row>
    <row r="991" spans="1:4" ht="20.100000000000001" hidden="1" customHeight="1">
      <c r="A991" s="236" t="s">
        <v>978</v>
      </c>
      <c r="B991" s="109"/>
      <c r="C991" s="235"/>
      <c r="D991" s="235"/>
    </row>
    <row r="992" spans="1:4" ht="20.100000000000001" hidden="1" customHeight="1">
      <c r="A992" s="236" t="s">
        <v>979</v>
      </c>
      <c r="B992" s="109"/>
      <c r="C992" s="235"/>
      <c r="D992" s="235"/>
    </row>
    <row r="993" spans="1:4" ht="20.100000000000001" hidden="1" customHeight="1">
      <c r="A993" s="236" t="s">
        <v>980</v>
      </c>
      <c r="B993" s="109">
        <f>SUM(B994:B997)</f>
        <v>0</v>
      </c>
      <c r="C993" s="235">
        <f>SUM(C994:C997)</f>
        <v>0</v>
      </c>
      <c r="D993" s="235">
        <f>SUM(D994:D997)</f>
        <v>0</v>
      </c>
    </row>
    <row r="994" spans="1:4" ht="20.100000000000001" hidden="1" customHeight="1">
      <c r="A994" s="236" t="s">
        <v>228</v>
      </c>
      <c r="B994" s="109"/>
      <c r="C994" s="235"/>
      <c r="D994" s="235"/>
    </row>
    <row r="995" spans="1:4" ht="20.100000000000001" hidden="1" customHeight="1">
      <c r="A995" s="236" t="s">
        <v>229</v>
      </c>
      <c r="B995" s="109"/>
      <c r="C995" s="235"/>
      <c r="D995" s="235"/>
    </row>
    <row r="996" spans="1:4" ht="20.100000000000001" hidden="1" customHeight="1">
      <c r="A996" s="236" t="s">
        <v>230</v>
      </c>
      <c r="B996" s="109"/>
      <c r="C996" s="235"/>
      <c r="D996" s="235"/>
    </row>
    <row r="997" spans="1:4" ht="20.100000000000001" hidden="1" customHeight="1">
      <c r="A997" s="236" t="s">
        <v>981</v>
      </c>
      <c r="B997" s="109"/>
      <c r="C997" s="235"/>
      <c r="D997" s="235"/>
    </row>
    <row r="998" spans="1:4" ht="20.100000000000001" customHeight="1">
      <c r="A998" s="236" t="s">
        <v>982</v>
      </c>
      <c r="B998" s="109">
        <f>SUM(B999:B1008)</f>
        <v>633</v>
      </c>
      <c r="C998" s="235">
        <f>SUM(C999:C1008)</f>
        <v>633</v>
      </c>
      <c r="D998" s="235">
        <f>SUM(D999:D1008)</f>
        <v>0</v>
      </c>
    </row>
    <row r="999" spans="1:4" ht="20.100000000000001" customHeight="1">
      <c r="A999" s="236" t="s">
        <v>228</v>
      </c>
      <c r="B999" s="109">
        <v>593</v>
      </c>
      <c r="C999" s="235">
        <v>593</v>
      </c>
      <c r="D999" s="235"/>
    </row>
    <row r="1000" spans="1:4" ht="20.100000000000001" hidden="1" customHeight="1">
      <c r="A1000" s="236" t="s">
        <v>229</v>
      </c>
      <c r="B1000" s="109"/>
      <c r="C1000" s="235"/>
      <c r="D1000" s="235"/>
    </row>
    <row r="1001" spans="1:4" ht="20.100000000000001" hidden="1" customHeight="1">
      <c r="A1001" s="236" t="s">
        <v>230</v>
      </c>
      <c r="B1001" s="109"/>
      <c r="C1001" s="235"/>
      <c r="D1001" s="235"/>
    </row>
    <row r="1002" spans="1:4" ht="20.100000000000001" hidden="1" customHeight="1">
      <c r="A1002" s="236" t="s">
        <v>983</v>
      </c>
      <c r="B1002" s="109"/>
      <c r="C1002" s="235"/>
      <c r="D1002" s="235"/>
    </row>
    <row r="1003" spans="1:4" ht="20.100000000000001" hidden="1" customHeight="1">
      <c r="A1003" s="236" t="s">
        <v>984</v>
      </c>
      <c r="B1003" s="109"/>
      <c r="C1003" s="235"/>
      <c r="D1003" s="235"/>
    </row>
    <row r="1004" spans="1:4" ht="20.100000000000001" hidden="1" customHeight="1">
      <c r="A1004" s="236" t="s">
        <v>985</v>
      </c>
      <c r="B1004" s="109"/>
      <c r="C1004" s="235"/>
      <c r="D1004" s="235"/>
    </row>
    <row r="1005" spans="1:4" ht="20.100000000000001" hidden="1" customHeight="1">
      <c r="A1005" s="236" t="s">
        <v>986</v>
      </c>
      <c r="B1005" s="109"/>
      <c r="C1005" s="235"/>
      <c r="D1005" s="235"/>
    </row>
    <row r="1006" spans="1:4" ht="20.100000000000001" hidden="1" customHeight="1">
      <c r="A1006" s="236" t="s">
        <v>987</v>
      </c>
      <c r="B1006" s="109"/>
      <c r="C1006" s="235"/>
      <c r="D1006" s="235"/>
    </row>
    <row r="1007" spans="1:4" ht="20.100000000000001" hidden="1" customHeight="1">
      <c r="A1007" s="236" t="s">
        <v>237</v>
      </c>
      <c r="B1007" s="109"/>
      <c r="C1007" s="235"/>
      <c r="D1007" s="235"/>
    </row>
    <row r="1008" spans="1:4" ht="20.100000000000001" customHeight="1">
      <c r="A1008" s="236" t="s">
        <v>988</v>
      </c>
      <c r="B1008" s="109">
        <v>40</v>
      </c>
      <c r="C1008" s="235">
        <v>40</v>
      </c>
      <c r="D1008" s="235"/>
    </row>
    <row r="1009" spans="1:4" ht="20.100000000000001" customHeight="1">
      <c r="A1009" s="236" t="s">
        <v>989</v>
      </c>
      <c r="B1009" s="109">
        <f>SUM(B1010:B1015)</f>
        <v>2573</v>
      </c>
      <c r="C1009" s="235">
        <f>SUM(C1010:C1015)</f>
        <v>2573</v>
      </c>
      <c r="D1009" s="235">
        <f>SUM(D1010:D1015)</f>
        <v>0</v>
      </c>
    </row>
    <row r="1010" spans="1:4" ht="20.100000000000001" customHeight="1">
      <c r="A1010" s="236" t="s">
        <v>228</v>
      </c>
      <c r="B1010" s="109">
        <v>359</v>
      </c>
      <c r="C1010" s="235">
        <v>359</v>
      </c>
      <c r="D1010" s="235"/>
    </row>
    <row r="1011" spans="1:4" ht="20.100000000000001" hidden="1" customHeight="1">
      <c r="A1011" s="236" t="s">
        <v>229</v>
      </c>
      <c r="B1011" s="109"/>
      <c r="C1011" s="235"/>
      <c r="D1011" s="235"/>
    </row>
    <row r="1012" spans="1:4" ht="20.100000000000001" hidden="1" customHeight="1">
      <c r="A1012" s="236" t="s">
        <v>230</v>
      </c>
      <c r="B1012" s="109"/>
      <c r="C1012" s="235"/>
      <c r="D1012" s="235"/>
    </row>
    <row r="1013" spans="1:4" ht="20.100000000000001" hidden="1" customHeight="1">
      <c r="A1013" s="236" t="s">
        <v>990</v>
      </c>
      <c r="B1013" s="109"/>
      <c r="C1013" s="235"/>
      <c r="D1013" s="235"/>
    </row>
    <row r="1014" spans="1:4" ht="20.100000000000001" hidden="1" customHeight="1">
      <c r="A1014" s="236" t="s">
        <v>991</v>
      </c>
      <c r="B1014" s="109"/>
      <c r="C1014" s="235"/>
      <c r="D1014" s="235"/>
    </row>
    <row r="1015" spans="1:4" ht="20.100000000000001" customHeight="1">
      <c r="A1015" s="236" t="s">
        <v>992</v>
      </c>
      <c r="B1015" s="109">
        <v>2214</v>
      </c>
      <c r="C1015" s="235">
        <v>2214</v>
      </c>
      <c r="D1015" s="235"/>
    </row>
    <row r="1016" spans="1:4" ht="20.100000000000001" customHeight="1">
      <c r="A1016" s="236" t="s">
        <v>993</v>
      </c>
      <c r="B1016" s="109">
        <f>SUM(B1017:B1023)</f>
        <v>5013</v>
      </c>
      <c r="C1016" s="235">
        <f>SUM(C1017:C1023)</f>
        <v>5000</v>
      </c>
      <c r="D1016" s="235">
        <v>13</v>
      </c>
    </row>
    <row r="1017" spans="1:4" ht="20.100000000000001" hidden="1" customHeight="1">
      <c r="A1017" s="236" t="s">
        <v>228</v>
      </c>
      <c r="B1017" s="109"/>
      <c r="C1017" s="235"/>
      <c r="D1017" s="235"/>
    </row>
    <row r="1018" spans="1:4" ht="20.100000000000001" hidden="1" customHeight="1">
      <c r="A1018" s="236" t="s">
        <v>229</v>
      </c>
      <c r="B1018" s="109"/>
      <c r="C1018" s="235"/>
      <c r="D1018" s="235"/>
    </row>
    <row r="1019" spans="1:4" ht="20.100000000000001" hidden="1" customHeight="1">
      <c r="A1019" s="236" t="s">
        <v>230</v>
      </c>
      <c r="B1019" s="109"/>
      <c r="C1019" s="235"/>
      <c r="D1019" s="235"/>
    </row>
    <row r="1020" spans="1:4" ht="20.100000000000001" hidden="1" customHeight="1">
      <c r="A1020" s="236" t="s">
        <v>994</v>
      </c>
      <c r="B1020" s="109"/>
      <c r="C1020" s="235"/>
      <c r="D1020" s="235"/>
    </row>
    <row r="1021" spans="1:4" ht="20.100000000000001" customHeight="1">
      <c r="A1021" s="236" t="s">
        <v>995</v>
      </c>
      <c r="B1021" s="109">
        <f>5000+13</f>
        <v>5013</v>
      </c>
      <c r="C1021" s="235">
        <v>5000</v>
      </c>
      <c r="D1021" s="235">
        <v>13</v>
      </c>
    </row>
    <row r="1022" spans="1:4" ht="20.100000000000001" hidden="1" customHeight="1">
      <c r="A1022" s="236" t="s">
        <v>996</v>
      </c>
      <c r="B1022" s="109"/>
      <c r="C1022" s="235"/>
      <c r="D1022" s="235"/>
    </row>
    <row r="1023" spans="1:4" ht="20.100000000000001" hidden="1" customHeight="1">
      <c r="A1023" s="236" t="s">
        <v>997</v>
      </c>
      <c r="B1023" s="109"/>
      <c r="C1023" s="235"/>
      <c r="D1023" s="235"/>
    </row>
    <row r="1024" spans="1:4" ht="20.100000000000001" hidden="1" customHeight="1">
      <c r="A1024" s="236" t="s">
        <v>998</v>
      </c>
      <c r="B1024" s="109">
        <f>SUM(B1025:B1029)</f>
        <v>0</v>
      </c>
      <c r="C1024" s="235">
        <f>SUM(C1025:C1029)</f>
        <v>0</v>
      </c>
      <c r="D1024" s="235">
        <f>SUM(D1025:D1029)</f>
        <v>0</v>
      </c>
    </row>
    <row r="1025" spans="1:4" ht="20.100000000000001" hidden="1" customHeight="1">
      <c r="A1025" s="236" t="s">
        <v>999</v>
      </c>
      <c r="B1025" s="109"/>
      <c r="C1025" s="235"/>
      <c r="D1025" s="235"/>
    </row>
    <row r="1026" spans="1:4" ht="20.100000000000001" hidden="1" customHeight="1">
      <c r="A1026" s="236" t="s">
        <v>1000</v>
      </c>
      <c r="B1026" s="109"/>
      <c r="C1026" s="235"/>
      <c r="D1026" s="235"/>
    </row>
    <row r="1027" spans="1:4" ht="20.100000000000001" hidden="1" customHeight="1">
      <c r="A1027" s="236" t="s">
        <v>1001</v>
      </c>
      <c r="B1027" s="109"/>
      <c r="C1027" s="235"/>
      <c r="D1027" s="235"/>
    </row>
    <row r="1028" spans="1:4" ht="20.100000000000001" hidden="1" customHeight="1">
      <c r="A1028" s="236" t="s">
        <v>1002</v>
      </c>
      <c r="B1028" s="109"/>
      <c r="C1028" s="235"/>
      <c r="D1028" s="235"/>
    </row>
    <row r="1029" spans="1:4" ht="20.100000000000001" hidden="1" customHeight="1">
      <c r="A1029" s="236" t="s">
        <v>1003</v>
      </c>
      <c r="B1029" s="109"/>
      <c r="C1029" s="235"/>
      <c r="D1029" s="235"/>
    </row>
    <row r="1030" spans="1:4" ht="20.100000000000001" customHeight="1">
      <c r="A1030" s="234" t="s">
        <v>1004</v>
      </c>
      <c r="B1030" s="109">
        <f>B1031+B1041+B1047</f>
        <v>641</v>
      </c>
      <c r="C1030" s="235">
        <f>C1031+C1041+C1047</f>
        <v>464</v>
      </c>
      <c r="D1030" s="235">
        <f>D1031+D1041+D1047</f>
        <v>177</v>
      </c>
    </row>
    <row r="1031" spans="1:4" ht="20.100000000000001" customHeight="1">
      <c r="A1031" s="236" t="s">
        <v>1005</v>
      </c>
      <c r="B1031" s="109">
        <f>SUM(B1032:B1040)</f>
        <v>494</v>
      </c>
      <c r="C1031" s="235">
        <f>SUM(C1032:C1040)</f>
        <v>464</v>
      </c>
      <c r="D1031" s="235">
        <v>30</v>
      </c>
    </row>
    <row r="1032" spans="1:4" ht="20.100000000000001" customHeight="1">
      <c r="A1032" s="236" t="s">
        <v>228</v>
      </c>
      <c r="B1032" s="109">
        <v>204</v>
      </c>
      <c r="C1032" s="235">
        <v>204</v>
      </c>
      <c r="D1032" s="235"/>
    </row>
    <row r="1033" spans="1:4" ht="20.100000000000001" hidden="1" customHeight="1">
      <c r="A1033" s="236" t="s">
        <v>229</v>
      </c>
      <c r="B1033" s="109"/>
      <c r="C1033" s="235"/>
      <c r="D1033" s="235"/>
    </row>
    <row r="1034" spans="1:4" ht="20.100000000000001" hidden="1" customHeight="1">
      <c r="A1034" s="236" t="s">
        <v>230</v>
      </c>
      <c r="B1034" s="109"/>
      <c r="C1034" s="235"/>
      <c r="D1034" s="235"/>
    </row>
    <row r="1035" spans="1:4" ht="20.100000000000001" hidden="1" customHeight="1">
      <c r="A1035" s="236" t="s">
        <v>1006</v>
      </c>
      <c r="B1035" s="109"/>
      <c r="C1035" s="235"/>
      <c r="D1035" s="235"/>
    </row>
    <row r="1036" spans="1:4" ht="20.100000000000001" hidden="1" customHeight="1">
      <c r="A1036" s="236" t="s">
        <v>1007</v>
      </c>
      <c r="B1036" s="109"/>
      <c r="C1036" s="235"/>
      <c r="D1036" s="235"/>
    </row>
    <row r="1037" spans="1:4" ht="20.100000000000001" hidden="1" customHeight="1">
      <c r="A1037" s="236" t="s">
        <v>1008</v>
      </c>
      <c r="B1037" s="109"/>
      <c r="C1037" s="235"/>
      <c r="D1037" s="235"/>
    </row>
    <row r="1038" spans="1:4" ht="20.100000000000001" hidden="1" customHeight="1">
      <c r="A1038" s="236" t="s">
        <v>1009</v>
      </c>
      <c r="B1038" s="109"/>
      <c r="C1038" s="235"/>
      <c r="D1038" s="235"/>
    </row>
    <row r="1039" spans="1:4" ht="20.100000000000001" hidden="1" customHeight="1">
      <c r="A1039" s="236" t="s">
        <v>237</v>
      </c>
      <c r="B1039" s="109"/>
      <c r="C1039" s="235"/>
      <c r="D1039" s="235"/>
    </row>
    <row r="1040" spans="1:4" ht="20.100000000000001" customHeight="1">
      <c r="A1040" s="236" t="s">
        <v>1010</v>
      </c>
      <c r="B1040" s="109">
        <f>260+30</f>
        <v>290</v>
      </c>
      <c r="C1040" s="235">
        <v>260</v>
      </c>
      <c r="D1040" s="235">
        <v>30</v>
      </c>
    </row>
    <row r="1041" spans="1:4" ht="20.100000000000001" customHeight="1">
      <c r="A1041" s="236" t="s">
        <v>1011</v>
      </c>
      <c r="B1041" s="109">
        <f>SUM(B1042:B1046)</f>
        <v>147</v>
      </c>
      <c r="C1041" s="235">
        <f>SUM(C1042:C1046)</f>
        <v>0</v>
      </c>
      <c r="D1041" s="235">
        <v>147</v>
      </c>
    </row>
    <row r="1042" spans="1:4" ht="20.100000000000001" hidden="1" customHeight="1">
      <c r="A1042" s="236" t="s">
        <v>228</v>
      </c>
      <c r="B1042" s="109"/>
      <c r="C1042" s="235"/>
      <c r="D1042" s="235"/>
    </row>
    <row r="1043" spans="1:4" ht="20.100000000000001" hidden="1" customHeight="1">
      <c r="A1043" s="236" t="s">
        <v>229</v>
      </c>
      <c r="B1043" s="109"/>
      <c r="C1043" s="235"/>
      <c r="D1043" s="235"/>
    </row>
    <row r="1044" spans="1:4" ht="20.100000000000001" hidden="1" customHeight="1">
      <c r="A1044" s="236" t="s">
        <v>230</v>
      </c>
      <c r="B1044" s="109"/>
      <c r="C1044" s="235"/>
      <c r="D1044" s="235"/>
    </row>
    <row r="1045" spans="1:4" ht="20.100000000000001" hidden="1" customHeight="1">
      <c r="A1045" s="236" t="s">
        <v>1012</v>
      </c>
      <c r="B1045" s="109"/>
      <c r="C1045" s="235"/>
      <c r="D1045" s="235"/>
    </row>
    <row r="1046" spans="1:4" ht="20.100000000000001" customHeight="1">
      <c r="A1046" s="236" t="s">
        <v>1013</v>
      </c>
      <c r="B1046" s="109">
        <v>147</v>
      </c>
      <c r="C1046" s="235"/>
      <c r="D1046" s="235">
        <v>147</v>
      </c>
    </row>
    <row r="1047" spans="1:4" ht="20.100000000000001" hidden="1" customHeight="1">
      <c r="A1047" s="236" t="s">
        <v>1014</v>
      </c>
      <c r="B1047" s="109">
        <f>SUM(B1048:B1049)</f>
        <v>0</v>
      </c>
      <c r="C1047" s="235">
        <f>SUM(C1048:C1049)</f>
        <v>0</v>
      </c>
      <c r="D1047" s="235">
        <f>SUM(D1048:D1049)</f>
        <v>0</v>
      </c>
    </row>
    <row r="1048" spans="1:4" ht="20.100000000000001" hidden="1" customHeight="1">
      <c r="A1048" s="236" t="s">
        <v>1015</v>
      </c>
      <c r="B1048" s="109"/>
      <c r="C1048" s="235"/>
      <c r="D1048" s="235"/>
    </row>
    <row r="1049" spans="1:4" ht="20.100000000000001" hidden="1" customHeight="1">
      <c r="A1049" s="236" t="s">
        <v>1016</v>
      </c>
      <c r="B1049" s="109"/>
      <c r="C1049" s="235"/>
      <c r="D1049" s="235"/>
    </row>
    <row r="1050" spans="1:4" ht="20.100000000000001" customHeight="1">
      <c r="A1050" s="234" t="s">
        <v>1017</v>
      </c>
      <c r="B1050" s="109">
        <f>B1051+B1058+B1068+B1074+B1077</f>
        <v>760</v>
      </c>
      <c r="C1050" s="235">
        <f>C1051+C1058+C1068+C1074+C1077</f>
        <v>700</v>
      </c>
      <c r="D1050" s="235">
        <f>D1051+D1058+D1068+D1074+D1077</f>
        <v>60</v>
      </c>
    </row>
    <row r="1051" spans="1:4" ht="20.100000000000001" hidden="1" customHeight="1">
      <c r="A1051" s="236" t="s">
        <v>1018</v>
      </c>
      <c r="B1051" s="109">
        <f>SUM(B1052:B1057)</f>
        <v>0</v>
      </c>
      <c r="C1051" s="235">
        <f>SUM(C1052:C1057)</f>
        <v>0</v>
      </c>
      <c r="D1051" s="235">
        <f>SUM(D1052:D1057)</f>
        <v>0</v>
      </c>
    </row>
    <row r="1052" spans="1:4" ht="20.100000000000001" hidden="1" customHeight="1">
      <c r="A1052" s="236" t="s">
        <v>228</v>
      </c>
      <c r="B1052" s="109"/>
      <c r="C1052" s="235"/>
      <c r="D1052" s="235"/>
    </row>
    <row r="1053" spans="1:4" ht="20.100000000000001" hidden="1" customHeight="1">
      <c r="A1053" s="236" t="s">
        <v>229</v>
      </c>
      <c r="B1053" s="109"/>
      <c r="C1053" s="235"/>
      <c r="D1053" s="235"/>
    </row>
    <row r="1054" spans="1:4" ht="20.100000000000001" hidden="1" customHeight="1">
      <c r="A1054" s="236" t="s">
        <v>230</v>
      </c>
      <c r="B1054" s="109"/>
      <c r="C1054" s="235"/>
      <c r="D1054" s="235"/>
    </row>
    <row r="1055" spans="1:4" ht="20.100000000000001" hidden="1" customHeight="1">
      <c r="A1055" s="236" t="s">
        <v>1019</v>
      </c>
      <c r="B1055" s="109"/>
      <c r="C1055" s="235"/>
      <c r="D1055" s="235"/>
    </row>
    <row r="1056" spans="1:4" ht="20.100000000000001" hidden="1" customHeight="1">
      <c r="A1056" s="236" t="s">
        <v>237</v>
      </c>
      <c r="B1056" s="109"/>
      <c r="C1056" s="235"/>
      <c r="D1056" s="235"/>
    </row>
    <row r="1057" spans="1:4" ht="20.100000000000001" hidden="1" customHeight="1">
      <c r="A1057" s="236" t="s">
        <v>1020</v>
      </c>
      <c r="B1057" s="109"/>
      <c r="C1057" s="235"/>
      <c r="D1057" s="235"/>
    </row>
    <row r="1058" spans="1:4" ht="20.100000000000001" hidden="1" customHeight="1">
      <c r="A1058" s="236" t="s">
        <v>1021</v>
      </c>
      <c r="B1058" s="109">
        <f>SUM(B1059:B1067)</f>
        <v>0</v>
      </c>
      <c r="C1058" s="235">
        <f>SUM(C1059:C1067)</f>
        <v>0</v>
      </c>
      <c r="D1058" s="235">
        <f>SUM(D1059:D1067)</f>
        <v>0</v>
      </c>
    </row>
    <row r="1059" spans="1:4" ht="20.100000000000001" hidden="1" customHeight="1">
      <c r="A1059" s="236" t="s">
        <v>1022</v>
      </c>
      <c r="B1059" s="109"/>
      <c r="C1059" s="235"/>
      <c r="D1059" s="235"/>
    </row>
    <row r="1060" spans="1:4" ht="20.100000000000001" hidden="1" customHeight="1">
      <c r="A1060" s="236" t="s">
        <v>1023</v>
      </c>
      <c r="B1060" s="109"/>
      <c r="C1060" s="235"/>
      <c r="D1060" s="235"/>
    </row>
    <row r="1061" spans="1:4" ht="20.100000000000001" hidden="1" customHeight="1">
      <c r="A1061" s="236" t="s">
        <v>1024</v>
      </c>
      <c r="B1061" s="109"/>
      <c r="C1061" s="235"/>
      <c r="D1061" s="235"/>
    </row>
    <row r="1062" spans="1:4" ht="20.100000000000001" hidden="1" customHeight="1">
      <c r="A1062" s="236" t="s">
        <v>1025</v>
      </c>
      <c r="B1062" s="109"/>
      <c r="C1062" s="235"/>
      <c r="D1062" s="235"/>
    </row>
    <row r="1063" spans="1:4" ht="20.100000000000001" hidden="1" customHeight="1">
      <c r="A1063" s="236" t="s">
        <v>1026</v>
      </c>
      <c r="B1063" s="109"/>
      <c r="C1063" s="235"/>
      <c r="D1063" s="235"/>
    </row>
    <row r="1064" spans="1:4" ht="20.100000000000001" hidden="1" customHeight="1">
      <c r="A1064" s="236" t="s">
        <v>1027</v>
      </c>
      <c r="B1064" s="109"/>
      <c r="C1064" s="235"/>
      <c r="D1064" s="235"/>
    </row>
    <row r="1065" spans="1:4" ht="20.100000000000001" hidden="1" customHeight="1">
      <c r="A1065" s="236" t="s">
        <v>1028</v>
      </c>
      <c r="B1065" s="109"/>
      <c r="C1065" s="235"/>
      <c r="D1065" s="235"/>
    </row>
    <row r="1066" spans="1:4" ht="20.100000000000001" hidden="1" customHeight="1">
      <c r="A1066" s="236" t="s">
        <v>1029</v>
      </c>
      <c r="B1066" s="109"/>
      <c r="C1066" s="235"/>
      <c r="D1066" s="235"/>
    </row>
    <row r="1067" spans="1:4" ht="20.100000000000001" hidden="1" customHeight="1">
      <c r="A1067" s="236" t="s">
        <v>1030</v>
      </c>
      <c r="B1067" s="109"/>
      <c r="C1067" s="235"/>
      <c r="D1067" s="235"/>
    </row>
    <row r="1068" spans="1:4" ht="20.100000000000001" customHeight="1">
      <c r="A1068" s="236" t="s">
        <v>1031</v>
      </c>
      <c r="B1068" s="109">
        <f>SUM(B1069:B1073)</f>
        <v>460</v>
      </c>
      <c r="C1068" s="235">
        <f>SUM(C1069:C1073)</f>
        <v>400</v>
      </c>
      <c r="D1068" s="235">
        <v>60</v>
      </c>
    </row>
    <row r="1069" spans="1:4" ht="20.100000000000001" hidden="1" customHeight="1">
      <c r="A1069" s="236" t="s">
        <v>1032</v>
      </c>
      <c r="B1069" s="109"/>
      <c r="C1069" s="235"/>
      <c r="D1069" s="235"/>
    </row>
    <row r="1070" spans="1:4" ht="20.100000000000001" hidden="1" customHeight="1">
      <c r="A1070" s="236" t="s">
        <v>1033</v>
      </c>
      <c r="B1070" s="109"/>
      <c r="C1070" s="235"/>
      <c r="D1070" s="235"/>
    </row>
    <row r="1071" spans="1:4" ht="20.100000000000001" hidden="1" customHeight="1">
      <c r="A1071" s="236" t="s">
        <v>1034</v>
      </c>
      <c r="B1071" s="109"/>
      <c r="C1071" s="235"/>
      <c r="D1071" s="235"/>
    </row>
    <row r="1072" spans="1:4" ht="20.100000000000001" hidden="1" customHeight="1">
      <c r="A1072" s="236" t="s">
        <v>1035</v>
      </c>
      <c r="B1072" s="109"/>
      <c r="C1072" s="235"/>
      <c r="D1072" s="235"/>
    </row>
    <row r="1073" spans="1:4" ht="20.100000000000001" customHeight="1">
      <c r="A1073" s="236" t="s">
        <v>1036</v>
      </c>
      <c r="B1073" s="109">
        <f>400+60</f>
        <v>460</v>
      </c>
      <c r="C1073" s="235">
        <v>400</v>
      </c>
      <c r="D1073" s="235">
        <v>60</v>
      </c>
    </row>
    <row r="1074" spans="1:4" ht="20.100000000000001" hidden="1" customHeight="1">
      <c r="A1074" s="236" t="s">
        <v>1037</v>
      </c>
      <c r="B1074" s="109">
        <f>SUM(B1075:B1076)</f>
        <v>0</v>
      </c>
      <c r="C1074" s="235">
        <f>SUM(C1075:C1076)</f>
        <v>0</v>
      </c>
      <c r="D1074" s="235">
        <f>SUM(D1075:D1076)</f>
        <v>0</v>
      </c>
    </row>
    <row r="1075" spans="1:4" ht="20.100000000000001" hidden="1" customHeight="1">
      <c r="A1075" s="236" t="s">
        <v>1038</v>
      </c>
      <c r="B1075" s="109"/>
      <c r="C1075" s="235"/>
      <c r="D1075" s="235"/>
    </row>
    <row r="1076" spans="1:4" ht="20.100000000000001" hidden="1" customHeight="1">
      <c r="A1076" s="236" t="s">
        <v>1039</v>
      </c>
      <c r="B1076" s="109"/>
      <c r="C1076" s="235"/>
      <c r="D1076" s="235"/>
    </row>
    <row r="1077" spans="1:4" ht="20.100000000000001" customHeight="1">
      <c r="A1077" s="236" t="s">
        <v>1040</v>
      </c>
      <c r="B1077" s="109">
        <f>SUM(B1078:B1079)</f>
        <v>300</v>
      </c>
      <c r="C1077" s="235">
        <f>SUM(C1078:C1079)</f>
        <v>300</v>
      </c>
      <c r="D1077" s="235">
        <f>SUM(D1078:D1079)</f>
        <v>0</v>
      </c>
    </row>
    <row r="1078" spans="1:4" ht="20.100000000000001" hidden="1" customHeight="1">
      <c r="A1078" s="236" t="s">
        <v>1041</v>
      </c>
      <c r="B1078" s="109"/>
      <c r="C1078" s="235"/>
      <c r="D1078" s="235"/>
    </row>
    <row r="1079" spans="1:4" ht="20.100000000000001" customHeight="1">
      <c r="A1079" s="236" t="s">
        <v>1042</v>
      </c>
      <c r="B1079" s="109">
        <v>300</v>
      </c>
      <c r="C1079" s="235">
        <v>300</v>
      </c>
      <c r="D1079" s="235"/>
    </row>
    <row r="1080" spans="1:4" ht="20.100000000000001" hidden="1" customHeight="1">
      <c r="A1080" s="234" t="s">
        <v>1043</v>
      </c>
      <c r="B1080" s="109"/>
      <c r="C1080" s="235"/>
      <c r="D1080" s="235"/>
    </row>
    <row r="1081" spans="1:4" ht="20.100000000000001" hidden="1" customHeight="1">
      <c r="A1081" s="236" t="s">
        <v>1044</v>
      </c>
      <c r="B1081" s="109"/>
      <c r="C1081" s="235"/>
      <c r="D1081" s="235"/>
    </row>
    <row r="1082" spans="1:4" ht="20.100000000000001" hidden="1" customHeight="1">
      <c r="A1082" s="236" t="s">
        <v>1045</v>
      </c>
      <c r="B1082" s="109"/>
      <c r="C1082" s="235"/>
      <c r="D1082" s="235"/>
    </row>
    <row r="1083" spans="1:4" ht="20.100000000000001" hidden="1" customHeight="1">
      <c r="A1083" s="236" t="s">
        <v>1046</v>
      </c>
      <c r="B1083" s="109"/>
      <c r="C1083" s="235"/>
      <c r="D1083" s="235"/>
    </row>
    <row r="1084" spans="1:4" ht="20.100000000000001" hidden="1" customHeight="1">
      <c r="A1084" s="236" t="s">
        <v>1047</v>
      </c>
      <c r="B1084" s="109"/>
      <c r="C1084" s="235"/>
      <c r="D1084" s="235"/>
    </row>
    <row r="1085" spans="1:4" ht="20.100000000000001" hidden="1" customHeight="1">
      <c r="A1085" s="236" t="s">
        <v>1048</v>
      </c>
      <c r="B1085" s="109"/>
      <c r="C1085" s="235"/>
      <c r="D1085" s="235"/>
    </row>
    <row r="1086" spans="1:4" ht="20.100000000000001" hidden="1" customHeight="1">
      <c r="A1086" s="236" t="s">
        <v>1049</v>
      </c>
      <c r="B1086" s="109"/>
      <c r="C1086" s="235"/>
      <c r="D1086" s="235"/>
    </row>
    <row r="1087" spans="1:4" ht="20.100000000000001" hidden="1" customHeight="1">
      <c r="A1087" s="236" t="s">
        <v>1050</v>
      </c>
      <c r="B1087" s="109"/>
      <c r="C1087" s="235"/>
      <c r="D1087" s="235"/>
    </row>
    <row r="1088" spans="1:4" ht="20.100000000000001" hidden="1" customHeight="1">
      <c r="A1088" s="236" t="s">
        <v>1051</v>
      </c>
      <c r="B1088" s="109"/>
      <c r="C1088" s="235"/>
      <c r="D1088" s="235"/>
    </row>
    <row r="1089" spans="1:4" ht="20.100000000000001" hidden="1" customHeight="1">
      <c r="A1089" s="236" t="s">
        <v>1052</v>
      </c>
      <c r="B1089" s="109"/>
      <c r="C1089" s="235"/>
      <c r="D1089" s="235"/>
    </row>
    <row r="1090" spans="1:4" ht="20.100000000000001" customHeight="1">
      <c r="A1090" s="234" t="s">
        <v>1053</v>
      </c>
      <c r="B1090" s="109">
        <f>B1091+B1118+B1133</f>
        <v>12862</v>
      </c>
      <c r="C1090" s="235">
        <f>C1091+C1118+C1133</f>
        <v>5649</v>
      </c>
      <c r="D1090" s="235">
        <f>D1091+D1118+D1133</f>
        <v>7213</v>
      </c>
    </row>
    <row r="1091" spans="1:4" ht="20.100000000000001" customHeight="1">
      <c r="A1091" s="236" t="s">
        <v>1054</v>
      </c>
      <c r="B1091" s="109">
        <f>SUM(B1092:B1117)</f>
        <v>12329</v>
      </c>
      <c r="C1091" s="235">
        <f>SUM(C1092:C1117)</f>
        <v>5116</v>
      </c>
      <c r="D1091" s="235">
        <f>SUM(D1092:D1117)</f>
        <v>7213</v>
      </c>
    </row>
    <row r="1092" spans="1:4" ht="20.100000000000001" customHeight="1">
      <c r="A1092" s="236" t="s">
        <v>228</v>
      </c>
      <c r="B1092" s="109">
        <v>1538</v>
      </c>
      <c r="C1092" s="235">
        <v>1538</v>
      </c>
      <c r="D1092" s="235"/>
    </row>
    <row r="1093" spans="1:4" ht="20.100000000000001" customHeight="1">
      <c r="A1093" s="236" t="s">
        <v>229</v>
      </c>
      <c r="B1093" s="109">
        <v>220</v>
      </c>
      <c r="C1093" s="235">
        <v>220</v>
      </c>
      <c r="D1093" s="235"/>
    </row>
    <row r="1094" spans="1:4" ht="20.100000000000001" hidden="1" customHeight="1">
      <c r="A1094" s="236" t="s">
        <v>230</v>
      </c>
      <c r="B1094" s="109"/>
      <c r="C1094" s="235"/>
      <c r="D1094" s="235"/>
    </row>
    <row r="1095" spans="1:4" ht="20.100000000000001" customHeight="1">
      <c r="A1095" s="236" t="s">
        <v>1055</v>
      </c>
      <c r="B1095" s="109">
        <v>40</v>
      </c>
      <c r="C1095" s="235">
        <v>40</v>
      </c>
      <c r="D1095" s="235"/>
    </row>
    <row r="1096" spans="1:4" ht="20.100000000000001" customHeight="1">
      <c r="A1096" s="236" t="s">
        <v>1056</v>
      </c>
      <c r="B1096" s="109">
        <v>50</v>
      </c>
      <c r="C1096" s="235">
        <v>50</v>
      </c>
      <c r="D1096" s="235"/>
    </row>
    <row r="1097" spans="1:4" ht="20.100000000000001" hidden="1" customHeight="1">
      <c r="A1097" s="236" t="s">
        <v>1057</v>
      </c>
      <c r="B1097" s="109"/>
      <c r="C1097" s="235"/>
      <c r="D1097" s="235"/>
    </row>
    <row r="1098" spans="1:4" ht="20.100000000000001" hidden="1" customHeight="1">
      <c r="A1098" s="236" t="s">
        <v>1058</v>
      </c>
      <c r="B1098" s="109"/>
      <c r="C1098" s="235"/>
      <c r="D1098" s="235"/>
    </row>
    <row r="1099" spans="1:4" ht="20.100000000000001" customHeight="1">
      <c r="A1099" s="236" t="s">
        <v>1059</v>
      </c>
      <c r="B1099" s="109">
        <v>115</v>
      </c>
      <c r="C1099" s="235">
        <v>115</v>
      </c>
      <c r="D1099" s="235"/>
    </row>
    <row r="1100" spans="1:4" ht="20.100000000000001" hidden="1" customHeight="1">
      <c r="A1100" s="236" t="s">
        <v>1060</v>
      </c>
      <c r="B1100" s="109"/>
      <c r="C1100" s="235"/>
      <c r="D1100" s="235"/>
    </row>
    <row r="1101" spans="1:4" ht="20.100000000000001" hidden="1" customHeight="1">
      <c r="A1101" s="236" t="s">
        <v>1061</v>
      </c>
      <c r="B1101" s="109"/>
      <c r="C1101" s="235"/>
      <c r="D1101" s="235"/>
    </row>
    <row r="1102" spans="1:4" ht="20.100000000000001" customHeight="1">
      <c r="A1102" s="236" t="s">
        <v>1062</v>
      </c>
      <c r="B1102" s="109">
        <v>18</v>
      </c>
      <c r="C1102" s="235">
        <v>18</v>
      </c>
      <c r="D1102" s="235"/>
    </row>
    <row r="1103" spans="1:4" ht="20.100000000000001" hidden="1" customHeight="1">
      <c r="A1103" s="236" t="s">
        <v>1063</v>
      </c>
      <c r="B1103" s="109"/>
      <c r="C1103" s="235"/>
      <c r="D1103" s="235"/>
    </row>
    <row r="1104" spans="1:4" ht="20.100000000000001" hidden="1" customHeight="1">
      <c r="A1104" s="236" t="s">
        <v>1064</v>
      </c>
      <c r="B1104" s="109"/>
      <c r="C1104" s="235"/>
      <c r="D1104" s="235"/>
    </row>
    <row r="1105" spans="1:4" ht="20.100000000000001" hidden="1" customHeight="1">
      <c r="A1105" s="236" t="s">
        <v>1065</v>
      </c>
      <c r="B1105" s="109"/>
      <c r="C1105" s="235"/>
      <c r="D1105" s="235"/>
    </row>
    <row r="1106" spans="1:4" ht="20.100000000000001" hidden="1" customHeight="1">
      <c r="A1106" s="236" t="s">
        <v>1066</v>
      </c>
      <c r="B1106" s="109"/>
      <c r="C1106" s="235"/>
      <c r="D1106" s="235"/>
    </row>
    <row r="1107" spans="1:4" ht="20.100000000000001" hidden="1" customHeight="1">
      <c r="A1107" s="236" t="s">
        <v>1067</v>
      </c>
      <c r="B1107" s="109"/>
      <c r="C1107" s="235"/>
      <c r="D1107" s="235"/>
    </row>
    <row r="1108" spans="1:4" ht="20.100000000000001" hidden="1" customHeight="1">
      <c r="A1108" s="236" t="s">
        <v>1068</v>
      </c>
      <c r="B1108" s="109"/>
      <c r="C1108" s="235"/>
      <c r="D1108" s="235"/>
    </row>
    <row r="1109" spans="1:4" ht="20.100000000000001" hidden="1" customHeight="1">
      <c r="A1109" s="236" t="s">
        <v>1069</v>
      </c>
      <c r="B1109" s="109"/>
      <c r="C1109" s="235"/>
      <c r="D1109" s="235"/>
    </row>
    <row r="1110" spans="1:4" ht="20.100000000000001" hidden="1" customHeight="1">
      <c r="A1110" s="236" t="s">
        <v>1070</v>
      </c>
      <c r="B1110" s="109"/>
      <c r="C1110" s="235"/>
      <c r="D1110" s="235"/>
    </row>
    <row r="1111" spans="1:4" ht="20.100000000000001" hidden="1" customHeight="1">
      <c r="A1111" s="236" t="s">
        <v>1071</v>
      </c>
      <c r="B1111" s="109"/>
      <c r="C1111" s="235"/>
      <c r="D1111" s="235"/>
    </row>
    <row r="1112" spans="1:4" ht="20.100000000000001" hidden="1" customHeight="1">
      <c r="A1112" s="236" t="s">
        <v>1072</v>
      </c>
      <c r="B1112" s="109"/>
      <c r="C1112" s="235"/>
      <c r="D1112" s="235"/>
    </row>
    <row r="1113" spans="1:4" ht="20.100000000000001" hidden="1" customHeight="1">
      <c r="A1113" s="236" t="s">
        <v>1073</v>
      </c>
      <c r="B1113" s="109"/>
      <c r="C1113" s="235"/>
      <c r="D1113" s="235"/>
    </row>
    <row r="1114" spans="1:4" ht="20.100000000000001" hidden="1" customHeight="1">
      <c r="A1114" s="236" t="s">
        <v>1074</v>
      </c>
      <c r="B1114" s="109"/>
      <c r="C1114" s="235"/>
      <c r="D1114" s="235"/>
    </row>
    <row r="1115" spans="1:4" ht="20.100000000000001" customHeight="1">
      <c r="A1115" s="236" t="s">
        <v>1075</v>
      </c>
      <c r="B1115" s="109">
        <v>100</v>
      </c>
      <c r="C1115" s="235">
        <v>100</v>
      </c>
      <c r="D1115" s="235"/>
    </row>
    <row r="1116" spans="1:4" ht="20.100000000000001" customHeight="1">
      <c r="A1116" s="236" t="s">
        <v>237</v>
      </c>
      <c r="B1116" s="109">
        <v>1364</v>
      </c>
      <c r="C1116" s="235">
        <v>1364</v>
      </c>
      <c r="D1116" s="235"/>
    </row>
    <row r="1117" spans="1:4" ht="20.100000000000001" customHeight="1">
      <c r="A1117" s="236" t="s">
        <v>1076</v>
      </c>
      <c r="B1117" s="109">
        <f>SUM(C1117:D1117)</f>
        <v>8884</v>
      </c>
      <c r="C1117" s="235">
        <v>1671</v>
      </c>
      <c r="D1117" s="235">
        <f>2213+5000</f>
        <v>7213</v>
      </c>
    </row>
    <row r="1118" spans="1:4" ht="20.100000000000001" customHeight="1">
      <c r="A1118" s="236" t="s">
        <v>1077</v>
      </c>
      <c r="B1118" s="109">
        <f>SUM(B1119:B1132)</f>
        <v>533</v>
      </c>
      <c r="C1118" s="235">
        <f>SUM(C1119:C1132)</f>
        <v>533</v>
      </c>
      <c r="D1118" s="235">
        <f>SUM(D1119:D1132)</f>
        <v>0</v>
      </c>
    </row>
    <row r="1119" spans="1:4" ht="20.100000000000001" hidden="1" customHeight="1">
      <c r="A1119" s="236" t="s">
        <v>228</v>
      </c>
      <c r="B1119" s="109"/>
      <c r="C1119" s="235"/>
      <c r="D1119" s="235"/>
    </row>
    <row r="1120" spans="1:4" ht="20.100000000000001" hidden="1" customHeight="1">
      <c r="A1120" s="236" t="s">
        <v>229</v>
      </c>
      <c r="B1120" s="109"/>
      <c r="C1120" s="235"/>
      <c r="D1120" s="235"/>
    </row>
    <row r="1121" spans="1:4" ht="20.100000000000001" hidden="1" customHeight="1">
      <c r="A1121" s="236" t="s">
        <v>230</v>
      </c>
      <c r="B1121" s="109"/>
      <c r="C1121" s="235"/>
      <c r="D1121" s="235"/>
    </row>
    <row r="1122" spans="1:4" ht="20.100000000000001" customHeight="1">
      <c r="A1122" s="236" t="s">
        <v>1078</v>
      </c>
      <c r="B1122" s="109">
        <v>20</v>
      </c>
      <c r="C1122" s="235">
        <v>20</v>
      </c>
      <c r="D1122" s="235"/>
    </row>
    <row r="1123" spans="1:4" ht="20.100000000000001" hidden="1" customHeight="1">
      <c r="A1123" s="236" t="s">
        <v>1079</v>
      </c>
      <c r="B1123" s="109"/>
      <c r="C1123" s="235"/>
      <c r="D1123" s="235"/>
    </row>
    <row r="1124" spans="1:4" ht="20.100000000000001" hidden="1" customHeight="1">
      <c r="A1124" s="236" t="s">
        <v>1080</v>
      </c>
      <c r="B1124" s="109"/>
      <c r="C1124" s="235"/>
      <c r="D1124" s="235"/>
    </row>
    <row r="1125" spans="1:4" ht="20.100000000000001" hidden="1" customHeight="1">
      <c r="A1125" s="236" t="s">
        <v>1081</v>
      </c>
      <c r="B1125" s="109"/>
      <c r="C1125" s="235"/>
      <c r="D1125" s="235"/>
    </row>
    <row r="1126" spans="1:4" ht="20.100000000000001" hidden="1" customHeight="1">
      <c r="A1126" s="236" t="s">
        <v>1082</v>
      </c>
      <c r="B1126" s="109"/>
      <c r="C1126" s="235"/>
      <c r="D1126" s="235"/>
    </row>
    <row r="1127" spans="1:4" ht="20.100000000000001" hidden="1" customHeight="1">
      <c r="A1127" s="236" t="s">
        <v>1083</v>
      </c>
      <c r="B1127" s="109"/>
      <c r="C1127" s="235"/>
      <c r="D1127" s="235"/>
    </row>
    <row r="1128" spans="1:4" ht="20.100000000000001" hidden="1" customHeight="1">
      <c r="A1128" s="236" t="s">
        <v>1084</v>
      </c>
      <c r="B1128" s="109"/>
      <c r="C1128" s="235"/>
      <c r="D1128" s="235"/>
    </row>
    <row r="1129" spans="1:4" ht="20.100000000000001" hidden="1" customHeight="1">
      <c r="A1129" s="236" t="s">
        <v>1085</v>
      </c>
      <c r="B1129" s="109"/>
      <c r="C1129" s="235"/>
      <c r="D1129" s="235"/>
    </row>
    <row r="1130" spans="1:4" ht="20.100000000000001" hidden="1" customHeight="1">
      <c r="A1130" s="236" t="s">
        <v>1086</v>
      </c>
      <c r="B1130" s="109"/>
      <c r="C1130" s="235"/>
      <c r="D1130" s="235"/>
    </row>
    <row r="1131" spans="1:4" ht="20.100000000000001" hidden="1" customHeight="1">
      <c r="A1131" s="236" t="s">
        <v>1087</v>
      </c>
      <c r="B1131" s="109"/>
      <c r="C1131" s="235"/>
      <c r="D1131" s="235"/>
    </row>
    <row r="1132" spans="1:4" ht="20.100000000000001" customHeight="1">
      <c r="A1132" s="236" t="s">
        <v>1088</v>
      </c>
      <c r="B1132" s="109">
        <v>513</v>
      </c>
      <c r="C1132" s="235">
        <v>513</v>
      </c>
      <c r="D1132" s="235"/>
    </row>
    <row r="1133" spans="1:4" ht="20.100000000000001" hidden="1" customHeight="1">
      <c r="A1133" s="236" t="s">
        <v>1089</v>
      </c>
      <c r="B1133" s="109">
        <v>0</v>
      </c>
      <c r="C1133" s="235">
        <v>0</v>
      </c>
      <c r="D1133" s="235">
        <v>0</v>
      </c>
    </row>
    <row r="1134" spans="1:4" ht="20.100000000000001" customHeight="1">
      <c r="A1134" s="234" t="s">
        <v>1090</v>
      </c>
      <c r="B1134" s="109">
        <f>B1135+B1146+B1150</f>
        <v>10515</v>
      </c>
      <c r="C1134" s="235">
        <f>C1135+C1146+C1150</f>
        <v>7603</v>
      </c>
      <c r="D1134" s="235">
        <f>D1135+D1146+D1150</f>
        <v>2912</v>
      </c>
    </row>
    <row r="1135" spans="1:4" ht="20.100000000000001" customHeight="1">
      <c r="A1135" s="236" t="s">
        <v>1091</v>
      </c>
      <c r="B1135" s="109">
        <f>SUM(B1136:B1145)</f>
        <v>4362</v>
      </c>
      <c r="C1135" s="235">
        <f>SUM(C1136:C1145)</f>
        <v>1450</v>
      </c>
      <c r="D1135" s="235">
        <v>2912</v>
      </c>
    </row>
    <row r="1136" spans="1:4" ht="20.100000000000001" hidden="1" customHeight="1">
      <c r="A1136" s="236" t="s">
        <v>1092</v>
      </c>
      <c r="B1136" s="109"/>
      <c r="C1136" s="235"/>
      <c r="D1136" s="235"/>
    </row>
    <row r="1137" spans="1:4" ht="20.100000000000001" hidden="1" customHeight="1">
      <c r="A1137" s="236" t="s">
        <v>1093</v>
      </c>
      <c r="B1137" s="109"/>
      <c r="C1137" s="235"/>
      <c r="D1137" s="235"/>
    </row>
    <row r="1138" spans="1:4" ht="20.100000000000001" hidden="1" customHeight="1">
      <c r="A1138" s="236" t="s">
        <v>1094</v>
      </c>
      <c r="B1138" s="109"/>
      <c r="C1138" s="235"/>
      <c r="D1138" s="235"/>
    </row>
    <row r="1139" spans="1:4" ht="20.100000000000001" hidden="1" customHeight="1">
      <c r="A1139" s="236" t="s">
        <v>1095</v>
      </c>
      <c r="B1139" s="109"/>
      <c r="C1139" s="235"/>
      <c r="D1139" s="235"/>
    </row>
    <row r="1140" spans="1:4" ht="20.100000000000001" hidden="1" customHeight="1">
      <c r="A1140" s="236" t="s">
        <v>1096</v>
      </c>
      <c r="B1140" s="109"/>
      <c r="C1140" s="235"/>
      <c r="D1140" s="235"/>
    </row>
    <row r="1141" spans="1:4" ht="20.100000000000001" hidden="1" customHeight="1">
      <c r="A1141" s="236" t="s">
        <v>1097</v>
      </c>
      <c r="B1141" s="109"/>
      <c r="C1141" s="235"/>
      <c r="D1141" s="235"/>
    </row>
    <row r="1142" spans="1:4" ht="20.100000000000001" customHeight="1">
      <c r="A1142" s="236" t="s">
        <v>1098</v>
      </c>
      <c r="B1142" s="109">
        <v>50</v>
      </c>
      <c r="C1142" s="235">
        <v>50</v>
      </c>
      <c r="D1142" s="235"/>
    </row>
    <row r="1143" spans="1:4" ht="20.100000000000001" customHeight="1">
      <c r="A1143" s="236" t="s">
        <v>1099</v>
      </c>
      <c r="B1143" s="109">
        <v>1400</v>
      </c>
      <c r="C1143" s="235">
        <v>1400</v>
      </c>
      <c r="D1143" s="235"/>
    </row>
    <row r="1144" spans="1:4" ht="20.100000000000001" hidden="1" customHeight="1">
      <c r="A1144" s="236" t="s">
        <v>1100</v>
      </c>
      <c r="B1144" s="109"/>
      <c r="C1144" s="235"/>
      <c r="D1144" s="235"/>
    </row>
    <row r="1145" spans="1:4" ht="20.100000000000001" customHeight="1">
      <c r="A1145" s="236" t="s">
        <v>1101</v>
      </c>
      <c r="B1145" s="109">
        <v>2912</v>
      </c>
      <c r="C1145" s="235"/>
      <c r="D1145" s="235">
        <v>2912</v>
      </c>
    </row>
    <row r="1146" spans="1:4" ht="20.100000000000001" customHeight="1">
      <c r="A1146" s="236" t="s">
        <v>1102</v>
      </c>
      <c r="B1146" s="109">
        <f>SUM(B1147:B1149)</f>
        <v>5246</v>
      </c>
      <c r="C1146" s="235">
        <f>SUM(C1147:C1149)</f>
        <v>5246</v>
      </c>
      <c r="D1146" s="235">
        <f>SUM(D1147:D1149)</f>
        <v>0</v>
      </c>
    </row>
    <row r="1147" spans="1:4" ht="20.100000000000001" customHeight="1">
      <c r="A1147" s="236" t="s">
        <v>1103</v>
      </c>
      <c r="B1147" s="109">
        <v>5246</v>
      </c>
      <c r="C1147" s="235">
        <v>5246</v>
      </c>
      <c r="D1147" s="235"/>
    </row>
    <row r="1148" spans="1:4" ht="20.100000000000001" hidden="1" customHeight="1">
      <c r="A1148" s="236" t="s">
        <v>1104</v>
      </c>
      <c r="B1148" s="109"/>
      <c r="C1148" s="235"/>
      <c r="D1148" s="235"/>
    </row>
    <row r="1149" spans="1:4" ht="20.100000000000001" hidden="1" customHeight="1">
      <c r="A1149" s="236" t="s">
        <v>1105</v>
      </c>
      <c r="B1149" s="109"/>
      <c r="C1149" s="235"/>
      <c r="D1149" s="235"/>
    </row>
    <row r="1150" spans="1:4" ht="20.100000000000001" customHeight="1">
      <c r="A1150" s="236" t="s">
        <v>1106</v>
      </c>
      <c r="B1150" s="109">
        <f>SUM(B1151:B1153)</f>
        <v>907</v>
      </c>
      <c r="C1150" s="235">
        <f>SUM(C1151:C1153)</f>
        <v>907</v>
      </c>
      <c r="D1150" s="235">
        <f>SUM(D1151:D1153)</f>
        <v>0</v>
      </c>
    </row>
    <row r="1151" spans="1:4" ht="20.100000000000001" hidden="1" customHeight="1">
      <c r="A1151" s="236" t="s">
        <v>1107</v>
      </c>
      <c r="B1151" s="109"/>
      <c r="C1151" s="235"/>
      <c r="D1151" s="235"/>
    </row>
    <row r="1152" spans="1:4" ht="20.100000000000001" customHeight="1">
      <c r="A1152" s="236" t="s">
        <v>1108</v>
      </c>
      <c r="B1152" s="109">
        <v>907</v>
      </c>
      <c r="C1152" s="235">
        <v>907</v>
      </c>
      <c r="D1152" s="235"/>
    </row>
    <row r="1153" spans="1:4" ht="20.100000000000001" hidden="1" customHeight="1">
      <c r="A1153" s="236" t="s">
        <v>1109</v>
      </c>
      <c r="B1153" s="109"/>
      <c r="C1153" s="235"/>
      <c r="D1153" s="235"/>
    </row>
    <row r="1154" spans="1:4" ht="20.100000000000001" customHeight="1">
      <c r="A1154" s="234" t="s">
        <v>1110</v>
      </c>
      <c r="B1154" s="109">
        <f>B1155+B1173+B1179+B1185</f>
        <v>3142</v>
      </c>
      <c r="C1154" s="235">
        <f>C1155+C1173+C1179+C1185</f>
        <v>1127</v>
      </c>
      <c r="D1154" s="235">
        <f>D1155+D1173+D1179+D1185</f>
        <v>2015</v>
      </c>
    </row>
    <row r="1155" spans="1:4" ht="20.100000000000001" customHeight="1">
      <c r="A1155" s="236" t="s">
        <v>1111</v>
      </c>
      <c r="B1155" s="109">
        <f>SUM(B1156:B1172)</f>
        <v>1127</v>
      </c>
      <c r="C1155" s="235">
        <f>SUM(C1156:C1172)</f>
        <v>1127</v>
      </c>
      <c r="D1155" s="235">
        <f>SUM(D1156:D1172)</f>
        <v>0</v>
      </c>
    </row>
    <row r="1156" spans="1:4" ht="20.100000000000001" customHeight="1">
      <c r="A1156" s="236" t="s">
        <v>228</v>
      </c>
      <c r="B1156" s="109">
        <v>91</v>
      </c>
      <c r="C1156" s="235">
        <v>91</v>
      </c>
      <c r="D1156" s="235"/>
    </row>
    <row r="1157" spans="1:4" ht="20.100000000000001" hidden="1" customHeight="1">
      <c r="A1157" s="236" t="s">
        <v>229</v>
      </c>
      <c r="B1157" s="109"/>
      <c r="C1157" s="235"/>
      <c r="D1157" s="235"/>
    </row>
    <row r="1158" spans="1:4" ht="20.100000000000001" hidden="1" customHeight="1">
      <c r="A1158" s="236" t="s">
        <v>230</v>
      </c>
      <c r="B1158" s="109"/>
      <c r="C1158" s="235"/>
      <c r="D1158" s="235"/>
    </row>
    <row r="1159" spans="1:4" ht="20.100000000000001" hidden="1" customHeight="1">
      <c r="A1159" s="236" t="s">
        <v>1112</v>
      </c>
      <c r="B1159" s="109"/>
      <c r="C1159" s="235"/>
      <c r="D1159" s="235"/>
    </row>
    <row r="1160" spans="1:4" ht="20.100000000000001" hidden="1" customHeight="1">
      <c r="A1160" s="236" t="s">
        <v>1113</v>
      </c>
      <c r="B1160" s="109"/>
      <c r="C1160" s="235"/>
      <c r="D1160" s="235"/>
    </row>
    <row r="1161" spans="1:4" ht="20.100000000000001" customHeight="1">
      <c r="A1161" s="236" t="s">
        <v>1114</v>
      </c>
      <c r="B1161" s="109">
        <v>15</v>
      </c>
      <c r="C1161" s="235">
        <v>15</v>
      </c>
      <c r="D1161" s="235"/>
    </row>
    <row r="1162" spans="1:4" ht="20.100000000000001" hidden="1" customHeight="1">
      <c r="A1162" s="236" t="s">
        <v>1115</v>
      </c>
      <c r="B1162" s="109"/>
      <c r="C1162" s="235"/>
      <c r="D1162" s="235"/>
    </row>
    <row r="1163" spans="1:4" ht="20.100000000000001" customHeight="1">
      <c r="A1163" s="236" t="s">
        <v>1116</v>
      </c>
      <c r="B1163" s="109">
        <v>400</v>
      </c>
      <c r="C1163" s="235">
        <v>400</v>
      </c>
      <c r="D1163" s="235"/>
    </row>
    <row r="1164" spans="1:4" ht="20.100000000000001" hidden="1" customHeight="1">
      <c r="A1164" s="236" t="s">
        <v>1117</v>
      </c>
      <c r="B1164" s="109"/>
      <c r="C1164" s="235"/>
      <c r="D1164" s="235"/>
    </row>
    <row r="1165" spans="1:4" ht="20.100000000000001" hidden="1" customHeight="1">
      <c r="A1165" s="236" t="s">
        <v>1118</v>
      </c>
      <c r="B1165" s="109"/>
      <c r="C1165" s="235"/>
      <c r="D1165" s="235"/>
    </row>
    <row r="1166" spans="1:4" ht="20.100000000000001" customHeight="1">
      <c r="A1166" s="236" t="s">
        <v>1119</v>
      </c>
      <c r="B1166" s="109">
        <v>400</v>
      </c>
      <c r="C1166" s="235">
        <v>400</v>
      </c>
      <c r="D1166" s="235"/>
    </row>
    <row r="1167" spans="1:4" ht="20.100000000000001" hidden="1" customHeight="1">
      <c r="A1167" s="236" t="s">
        <v>1120</v>
      </c>
      <c r="B1167" s="109"/>
      <c r="C1167" s="235"/>
      <c r="D1167" s="235"/>
    </row>
    <row r="1168" spans="1:4" ht="20.100000000000001" hidden="1" customHeight="1">
      <c r="A1168" s="236" t="s">
        <v>1121</v>
      </c>
      <c r="B1168" s="109"/>
      <c r="C1168" s="235"/>
      <c r="D1168" s="235"/>
    </row>
    <row r="1169" spans="1:4" ht="20.100000000000001" hidden="1" customHeight="1">
      <c r="A1169" s="236" t="s">
        <v>1122</v>
      </c>
      <c r="B1169" s="109"/>
      <c r="C1169" s="235"/>
      <c r="D1169" s="235"/>
    </row>
    <row r="1170" spans="1:4" ht="20.100000000000001" hidden="1" customHeight="1">
      <c r="A1170" s="236" t="s">
        <v>1123</v>
      </c>
      <c r="B1170" s="109"/>
      <c r="C1170" s="235"/>
      <c r="D1170" s="235"/>
    </row>
    <row r="1171" spans="1:4" ht="20.100000000000001" customHeight="1">
      <c r="A1171" s="236" t="s">
        <v>237</v>
      </c>
      <c r="B1171" s="109">
        <v>210</v>
      </c>
      <c r="C1171" s="235">
        <v>210</v>
      </c>
      <c r="D1171" s="235"/>
    </row>
    <row r="1172" spans="1:4" ht="20.100000000000001" customHeight="1">
      <c r="A1172" s="236" t="s">
        <v>1124</v>
      </c>
      <c r="B1172" s="109">
        <v>11</v>
      </c>
      <c r="C1172" s="235">
        <v>11</v>
      </c>
      <c r="D1172" s="235"/>
    </row>
    <row r="1173" spans="1:4" ht="20.100000000000001" hidden="1" customHeight="1">
      <c r="A1173" s="236" t="s">
        <v>1125</v>
      </c>
      <c r="B1173" s="109">
        <f>SUM(B1174:B1178)</f>
        <v>0</v>
      </c>
      <c r="C1173" s="235">
        <f>SUM(C1174:C1178)</f>
        <v>0</v>
      </c>
      <c r="D1173" s="235">
        <f>SUM(D1174:D1178)</f>
        <v>0</v>
      </c>
    </row>
    <row r="1174" spans="1:4" ht="20.100000000000001" hidden="1" customHeight="1">
      <c r="A1174" s="236" t="s">
        <v>1126</v>
      </c>
      <c r="B1174" s="109"/>
      <c r="C1174" s="235"/>
      <c r="D1174" s="235"/>
    </row>
    <row r="1175" spans="1:4" ht="20.100000000000001" hidden="1" customHeight="1">
      <c r="A1175" s="236" t="s">
        <v>1127</v>
      </c>
      <c r="B1175" s="109"/>
      <c r="C1175" s="235"/>
      <c r="D1175" s="235"/>
    </row>
    <row r="1176" spans="1:4" ht="20.100000000000001" hidden="1" customHeight="1">
      <c r="A1176" s="236" t="s">
        <v>1128</v>
      </c>
      <c r="B1176" s="109"/>
      <c r="C1176" s="235"/>
      <c r="D1176" s="235"/>
    </row>
    <row r="1177" spans="1:4" ht="20.100000000000001" hidden="1" customHeight="1">
      <c r="A1177" s="236" t="s">
        <v>1129</v>
      </c>
      <c r="B1177" s="109"/>
      <c r="C1177" s="235"/>
      <c r="D1177" s="235"/>
    </row>
    <row r="1178" spans="1:4" ht="20.100000000000001" hidden="1" customHeight="1">
      <c r="A1178" s="236" t="s">
        <v>1130</v>
      </c>
      <c r="B1178" s="109"/>
      <c r="C1178" s="235"/>
      <c r="D1178" s="235"/>
    </row>
    <row r="1179" spans="1:4" ht="20.100000000000001" hidden="1" customHeight="1">
      <c r="A1179" s="236" t="s">
        <v>1131</v>
      </c>
      <c r="B1179" s="109">
        <f>SUM(B1180:B1184)</f>
        <v>0</v>
      </c>
      <c r="C1179" s="235">
        <f>SUM(C1180:C1184)</f>
        <v>0</v>
      </c>
      <c r="D1179" s="235">
        <f>SUM(D1180:D1184)</f>
        <v>0</v>
      </c>
    </row>
    <row r="1180" spans="1:4" ht="20.100000000000001" hidden="1" customHeight="1">
      <c r="A1180" s="236" t="s">
        <v>1132</v>
      </c>
      <c r="B1180" s="109"/>
      <c r="C1180" s="235"/>
      <c r="D1180" s="235"/>
    </row>
    <row r="1181" spans="1:4" ht="20.100000000000001" hidden="1" customHeight="1">
      <c r="A1181" s="236" t="s">
        <v>1133</v>
      </c>
      <c r="B1181" s="109"/>
      <c r="C1181" s="235"/>
      <c r="D1181" s="235"/>
    </row>
    <row r="1182" spans="1:4" ht="20.100000000000001" hidden="1" customHeight="1">
      <c r="A1182" s="236" t="s">
        <v>1134</v>
      </c>
      <c r="B1182" s="109"/>
      <c r="C1182" s="235"/>
      <c r="D1182" s="235"/>
    </row>
    <row r="1183" spans="1:4" ht="20.100000000000001" hidden="1" customHeight="1">
      <c r="A1183" s="236" t="s">
        <v>1135</v>
      </c>
      <c r="B1183" s="109"/>
      <c r="C1183" s="235"/>
      <c r="D1183" s="235"/>
    </row>
    <row r="1184" spans="1:4" ht="20.100000000000001" hidden="1" customHeight="1">
      <c r="A1184" s="236" t="s">
        <v>1136</v>
      </c>
      <c r="B1184" s="109"/>
      <c r="C1184" s="235"/>
      <c r="D1184" s="235"/>
    </row>
    <row r="1185" spans="1:4" ht="20.100000000000001" customHeight="1">
      <c r="A1185" s="236" t="s">
        <v>1137</v>
      </c>
      <c r="B1185" s="109">
        <f>SUM(B1186:B1197)</f>
        <v>2015</v>
      </c>
      <c r="C1185" s="235">
        <f>SUM(C1186:C1197)</f>
        <v>0</v>
      </c>
      <c r="D1185" s="235">
        <v>2015</v>
      </c>
    </row>
    <row r="1186" spans="1:4" ht="20.100000000000001" hidden="1" customHeight="1">
      <c r="A1186" s="236" t="s">
        <v>1138</v>
      </c>
      <c r="B1186" s="109"/>
      <c r="C1186" s="235"/>
      <c r="D1186" s="235"/>
    </row>
    <row r="1187" spans="1:4" ht="20.100000000000001" hidden="1" customHeight="1">
      <c r="A1187" s="236" t="s">
        <v>1139</v>
      </c>
      <c r="B1187" s="109"/>
      <c r="C1187" s="235"/>
      <c r="D1187" s="235"/>
    </row>
    <row r="1188" spans="1:4" ht="20.100000000000001" hidden="1" customHeight="1">
      <c r="A1188" s="236" t="s">
        <v>1140</v>
      </c>
      <c r="B1188" s="109"/>
      <c r="C1188" s="235"/>
      <c r="D1188" s="235"/>
    </row>
    <row r="1189" spans="1:4" ht="20.100000000000001" hidden="1" customHeight="1">
      <c r="A1189" s="236" t="s">
        <v>1141</v>
      </c>
      <c r="B1189" s="109"/>
      <c r="C1189" s="235"/>
      <c r="D1189" s="235"/>
    </row>
    <row r="1190" spans="1:4" ht="20.100000000000001" hidden="1" customHeight="1">
      <c r="A1190" s="236" t="s">
        <v>1142</v>
      </c>
      <c r="B1190" s="109"/>
      <c r="C1190" s="235"/>
      <c r="D1190" s="235"/>
    </row>
    <row r="1191" spans="1:4" ht="20.100000000000001" hidden="1" customHeight="1">
      <c r="A1191" s="236" t="s">
        <v>1143</v>
      </c>
      <c r="B1191" s="109"/>
      <c r="C1191" s="235"/>
      <c r="D1191" s="235"/>
    </row>
    <row r="1192" spans="1:4" ht="20.100000000000001" hidden="1" customHeight="1">
      <c r="A1192" s="236" t="s">
        <v>1144</v>
      </c>
      <c r="B1192" s="109"/>
      <c r="C1192" s="235"/>
      <c r="D1192" s="235"/>
    </row>
    <row r="1193" spans="1:4" ht="20.100000000000001" hidden="1" customHeight="1">
      <c r="A1193" s="236" t="s">
        <v>1145</v>
      </c>
      <c r="B1193" s="109"/>
      <c r="C1193" s="235"/>
      <c r="D1193" s="235"/>
    </row>
    <row r="1194" spans="1:4" ht="20.100000000000001" hidden="1" customHeight="1">
      <c r="A1194" s="236" t="s">
        <v>1146</v>
      </c>
      <c r="B1194" s="109"/>
      <c r="C1194" s="235"/>
      <c r="D1194" s="235"/>
    </row>
    <row r="1195" spans="1:4" ht="20.100000000000001" hidden="1" customHeight="1">
      <c r="A1195" s="236" t="s">
        <v>1147</v>
      </c>
      <c r="B1195" s="109"/>
      <c r="C1195" s="235"/>
      <c r="D1195" s="235"/>
    </row>
    <row r="1196" spans="1:4" ht="20.100000000000001" hidden="1" customHeight="1">
      <c r="A1196" s="236" t="s">
        <v>1148</v>
      </c>
      <c r="B1196" s="109"/>
      <c r="C1196" s="235"/>
      <c r="D1196" s="235"/>
    </row>
    <row r="1197" spans="1:4" ht="20.100000000000001" customHeight="1">
      <c r="A1197" s="236" t="s">
        <v>1149</v>
      </c>
      <c r="B1197" s="109">
        <v>2015</v>
      </c>
      <c r="C1197" s="235"/>
      <c r="D1197" s="235">
        <v>2015</v>
      </c>
    </row>
    <row r="1198" spans="1:4" ht="20.100000000000001" customHeight="1">
      <c r="A1198" s="234" t="s">
        <v>1150</v>
      </c>
      <c r="B1198" s="109">
        <f>B1199+B1211+B1217+B1223+B1231+B1244+B1248+B1252</f>
        <v>5848</v>
      </c>
      <c r="C1198" s="235">
        <f>C1199+C1211+C1217+C1223+C1231+C1244+C1248+C1252</f>
        <v>4363</v>
      </c>
      <c r="D1198" s="235">
        <f>D1199+D1211+D1217+D1223+D1231+D1244+D1248+D1252</f>
        <v>1485</v>
      </c>
    </row>
    <row r="1199" spans="1:4" ht="20.100000000000001" customHeight="1">
      <c r="A1199" s="236" t="s">
        <v>1151</v>
      </c>
      <c r="B1199" s="109">
        <f>SUM(B1200:B1210)</f>
        <v>1521</v>
      </c>
      <c r="C1199" s="235">
        <f>SUM(C1200:C1210)</f>
        <v>1261</v>
      </c>
      <c r="D1199" s="235">
        <v>260</v>
      </c>
    </row>
    <row r="1200" spans="1:4" ht="20.100000000000001" customHeight="1">
      <c r="A1200" s="236" t="s">
        <v>228</v>
      </c>
      <c r="B1200" s="109">
        <v>398</v>
      </c>
      <c r="C1200" s="235">
        <v>398</v>
      </c>
      <c r="D1200" s="235"/>
    </row>
    <row r="1201" spans="1:4" ht="20.100000000000001" hidden="1" customHeight="1">
      <c r="A1201" s="236" t="s">
        <v>229</v>
      </c>
      <c r="B1201" s="109"/>
      <c r="C1201" s="235"/>
      <c r="D1201" s="235"/>
    </row>
    <row r="1202" spans="1:4" ht="20.100000000000001" hidden="1" customHeight="1">
      <c r="A1202" s="236" t="s">
        <v>230</v>
      </c>
      <c r="B1202" s="109"/>
      <c r="C1202" s="235"/>
      <c r="D1202" s="235"/>
    </row>
    <row r="1203" spans="1:4" ht="20.100000000000001" hidden="1" customHeight="1">
      <c r="A1203" s="236" t="s">
        <v>1152</v>
      </c>
      <c r="B1203" s="109"/>
      <c r="C1203" s="235"/>
      <c r="D1203" s="235"/>
    </row>
    <row r="1204" spans="1:4" ht="20.100000000000001" hidden="1" customHeight="1">
      <c r="A1204" s="236" t="s">
        <v>1153</v>
      </c>
      <c r="B1204" s="109"/>
      <c r="C1204" s="235"/>
      <c r="D1204" s="235"/>
    </row>
    <row r="1205" spans="1:4" ht="20.100000000000001" customHeight="1">
      <c r="A1205" s="236" t="s">
        <v>1154</v>
      </c>
      <c r="B1205" s="109">
        <v>50</v>
      </c>
      <c r="C1205" s="235">
        <v>50</v>
      </c>
      <c r="D1205" s="235"/>
    </row>
    <row r="1206" spans="1:4" ht="20.100000000000001" hidden="1" customHeight="1">
      <c r="A1206" s="236" t="s">
        <v>1155</v>
      </c>
      <c r="B1206" s="109"/>
      <c r="C1206" s="235"/>
      <c r="D1206" s="235"/>
    </row>
    <row r="1207" spans="1:4" ht="20.100000000000001" hidden="1" customHeight="1">
      <c r="A1207" s="236" t="s">
        <v>1156</v>
      </c>
      <c r="B1207" s="109"/>
      <c r="C1207" s="235"/>
      <c r="D1207" s="235"/>
    </row>
    <row r="1208" spans="1:4" ht="20.100000000000001" hidden="1" customHeight="1">
      <c r="A1208" s="236" t="s">
        <v>1157</v>
      </c>
      <c r="B1208" s="109"/>
      <c r="C1208" s="235"/>
      <c r="D1208" s="235"/>
    </row>
    <row r="1209" spans="1:4" ht="20.100000000000001" customHeight="1">
      <c r="A1209" s="236" t="s">
        <v>237</v>
      </c>
      <c r="B1209" s="109">
        <v>132</v>
      </c>
      <c r="C1209" s="235">
        <v>132</v>
      </c>
      <c r="D1209" s="235"/>
    </row>
    <row r="1210" spans="1:4" ht="20.100000000000001" customHeight="1">
      <c r="A1210" s="236" t="s">
        <v>1158</v>
      </c>
      <c r="B1210" s="109">
        <f>681+260</f>
        <v>941</v>
      </c>
      <c r="C1210" s="235">
        <v>681</v>
      </c>
      <c r="D1210" s="235">
        <v>260</v>
      </c>
    </row>
    <row r="1211" spans="1:4" ht="20.100000000000001" customHeight="1">
      <c r="A1211" s="236" t="s">
        <v>1159</v>
      </c>
      <c r="B1211" s="109">
        <f>SUM(B1212:B1216)</f>
        <v>2110</v>
      </c>
      <c r="C1211" s="235">
        <f>SUM(C1212:C1216)</f>
        <v>2110</v>
      </c>
      <c r="D1211" s="235">
        <f>SUM(D1212:D1216)</f>
        <v>0</v>
      </c>
    </row>
    <row r="1212" spans="1:4" ht="20.100000000000001" hidden="1" customHeight="1">
      <c r="A1212" s="236" t="s">
        <v>228</v>
      </c>
      <c r="B1212" s="109"/>
      <c r="C1212" s="235"/>
      <c r="D1212" s="235"/>
    </row>
    <row r="1213" spans="1:4" ht="20.100000000000001" hidden="1" customHeight="1">
      <c r="A1213" s="236" t="s">
        <v>229</v>
      </c>
      <c r="B1213" s="109"/>
      <c r="C1213" s="235"/>
      <c r="D1213" s="235"/>
    </row>
    <row r="1214" spans="1:4" ht="20.100000000000001" hidden="1" customHeight="1">
      <c r="A1214" s="236" t="s">
        <v>230</v>
      </c>
      <c r="B1214" s="109"/>
      <c r="C1214" s="235"/>
      <c r="D1214" s="235"/>
    </row>
    <row r="1215" spans="1:4" ht="20.100000000000001" customHeight="1">
      <c r="A1215" s="236" t="s">
        <v>1160</v>
      </c>
      <c r="B1215" s="109">
        <v>2034</v>
      </c>
      <c r="C1215" s="235">
        <v>2034</v>
      </c>
      <c r="D1215" s="235"/>
    </row>
    <row r="1216" spans="1:4" ht="20.100000000000001" customHeight="1">
      <c r="A1216" s="236" t="s">
        <v>1161</v>
      </c>
      <c r="B1216" s="109">
        <v>76</v>
      </c>
      <c r="C1216" s="235">
        <v>76</v>
      </c>
      <c r="D1216" s="235"/>
    </row>
    <row r="1217" spans="1:4" ht="20.100000000000001" customHeight="1">
      <c r="A1217" s="236" t="s">
        <v>1162</v>
      </c>
      <c r="B1217" s="109">
        <f>SUM(B1218:B1222)</f>
        <v>213</v>
      </c>
      <c r="C1217" s="235">
        <f>SUM(C1218:C1222)</f>
        <v>213</v>
      </c>
      <c r="D1217" s="235">
        <f>SUM(D1218:D1222)</f>
        <v>0</v>
      </c>
    </row>
    <row r="1218" spans="1:4" ht="20.100000000000001" hidden="1" customHeight="1">
      <c r="A1218" s="236" t="s">
        <v>228</v>
      </c>
      <c r="B1218" s="109"/>
      <c r="C1218" s="235"/>
      <c r="D1218" s="235"/>
    </row>
    <row r="1219" spans="1:4" ht="20.100000000000001" hidden="1" customHeight="1">
      <c r="A1219" s="236" t="s">
        <v>229</v>
      </c>
      <c r="B1219" s="109"/>
      <c r="C1219" s="235"/>
      <c r="D1219" s="235"/>
    </row>
    <row r="1220" spans="1:4" ht="20.100000000000001" hidden="1" customHeight="1">
      <c r="A1220" s="236" t="s">
        <v>230</v>
      </c>
      <c r="B1220" s="109"/>
      <c r="C1220" s="235"/>
      <c r="D1220" s="235"/>
    </row>
    <row r="1221" spans="1:4" ht="20.100000000000001" customHeight="1">
      <c r="A1221" s="236" t="s">
        <v>1163</v>
      </c>
      <c r="B1221" s="109">
        <v>213</v>
      </c>
      <c r="C1221" s="235">
        <v>213</v>
      </c>
      <c r="D1221" s="235"/>
    </row>
    <row r="1222" spans="1:4" ht="20.100000000000001" hidden="1" customHeight="1">
      <c r="A1222" s="236" t="s">
        <v>1164</v>
      </c>
      <c r="B1222" s="109"/>
      <c r="C1222" s="235"/>
      <c r="D1222" s="235"/>
    </row>
    <row r="1223" spans="1:4" ht="20.100000000000001" customHeight="1">
      <c r="A1223" s="236" t="s">
        <v>1165</v>
      </c>
      <c r="B1223" s="109">
        <f>SUM(B1224:B1230)</f>
        <v>728</v>
      </c>
      <c r="C1223" s="235">
        <f>SUM(C1224:C1230)</f>
        <v>728</v>
      </c>
      <c r="D1223" s="235">
        <f>SUM(D1224:D1230)</f>
        <v>0</v>
      </c>
    </row>
    <row r="1224" spans="1:4" ht="20.100000000000001" customHeight="1">
      <c r="A1224" s="236" t="s">
        <v>228</v>
      </c>
      <c r="B1224" s="109">
        <v>277</v>
      </c>
      <c r="C1224" s="235">
        <v>277</v>
      </c>
      <c r="D1224" s="235"/>
    </row>
    <row r="1225" spans="1:4" ht="20.100000000000001" customHeight="1">
      <c r="A1225" s="236" t="s">
        <v>229</v>
      </c>
      <c r="B1225" s="109">
        <v>200</v>
      </c>
      <c r="C1225" s="235">
        <v>200</v>
      </c>
      <c r="D1225" s="235"/>
    </row>
    <row r="1226" spans="1:4" ht="20.100000000000001" hidden="1" customHeight="1">
      <c r="A1226" s="236" t="s">
        <v>230</v>
      </c>
      <c r="B1226" s="109"/>
      <c r="C1226" s="235"/>
      <c r="D1226" s="235"/>
    </row>
    <row r="1227" spans="1:4" ht="20.100000000000001" customHeight="1">
      <c r="A1227" s="236" t="s">
        <v>1166</v>
      </c>
      <c r="B1227" s="109">
        <v>41</v>
      </c>
      <c r="C1227" s="235">
        <v>41</v>
      </c>
      <c r="D1227" s="235"/>
    </row>
    <row r="1228" spans="1:4" ht="20.100000000000001" hidden="1" customHeight="1">
      <c r="A1228" s="236" t="s">
        <v>1167</v>
      </c>
      <c r="B1228" s="109"/>
      <c r="C1228" s="235"/>
      <c r="D1228" s="235"/>
    </row>
    <row r="1229" spans="1:4" ht="20.100000000000001" customHeight="1">
      <c r="A1229" s="236" t="s">
        <v>237</v>
      </c>
      <c r="B1229" s="109">
        <v>120</v>
      </c>
      <c r="C1229" s="235">
        <v>120</v>
      </c>
      <c r="D1229" s="235"/>
    </row>
    <row r="1230" spans="1:4" ht="20.100000000000001" customHeight="1">
      <c r="A1230" s="236" t="s">
        <v>1168</v>
      </c>
      <c r="B1230" s="109">
        <v>90</v>
      </c>
      <c r="C1230" s="235">
        <v>90</v>
      </c>
      <c r="D1230" s="235"/>
    </row>
    <row r="1231" spans="1:4" ht="20.100000000000001" customHeight="1">
      <c r="A1231" s="236" t="s">
        <v>1169</v>
      </c>
      <c r="B1231" s="109">
        <f>SUM(B1232:B1243)</f>
        <v>6</v>
      </c>
      <c r="C1231" s="235">
        <f>SUM(C1232:C1243)</f>
        <v>6</v>
      </c>
      <c r="D1231" s="235">
        <f>SUM(D1232:D1243)</f>
        <v>0</v>
      </c>
    </row>
    <row r="1232" spans="1:4" ht="20.100000000000001" hidden="1" customHeight="1">
      <c r="A1232" s="236" t="s">
        <v>228</v>
      </c>
      <c r="B1232" s="109"/>
      <c r="C1232" s="235"/>
      <c r="D1232" s="235"/>
    </row>
    <row r="1233" spans="1:4" ht="20.100000000000001" hidden="1" customHeight="1">
      <c r="A1233" s="236" t="s">
        <v>229</v>
      </c>
      <c r="B1233" s="109"/>
      <c r="C1233" s="235"/>
      <c r="D1233" s="235"/>
    </row>
    <row r="1234" spans="1:4" ht="20.100000000000001" hidden="1" customHeight="1">
      <c r="A1234" s="236" t="s">
        <v>230</v>
      </c>
      <c r="B1234" s="109"/>
      <c r="C1234" s="235"/>
      <c r="D1234" s="235"/>
    </row>
    <row r="1235" spans="1:4" ht="20.100000000000001" customHeight="1">
      <c r="A1235" s="236" t="s">
        <v>1170</v>
      </c>
      <c r="B1235" s="109">
        <v>6</v>
      </c>
      <c r="C1235" s="235">
        <v>6</v>
      </c>
      <c r="D1235" s="235"/>
    </row>
    <row r="1236" spans="1:4" ht="20.100000000000001" hidden="1" customHeight="1">
      <c r="A1236" s="236" t="s">
        <v>1171</v>
      </c>
      <c r="B1236" s="109"/>
      <c r="C1236" s="235"/>
      <c r="D1236" s="235"/>
    </row>
    <row r="1237" spans="1:4" ht="20.100000000000001" hidden="1" customHeight="1">
      <c r="A1237" s="236" t="s">
        <v>1172</v>
      </c>
      <c r="B1237" s="109"/>
      <c r="C1237" s="235"/>
      <c r="D1237" s="235"/>
    </row>
    <row r="1238" spans="1:4" ht="20.100000000000001" hidden="1" customHeight="1">
      <c r="A1238" s="236" t="s">
        <v>1173</v>
      </c>
      <c r="B1238" s="109"/>
      <c r="C1238" s="235"/>
      <c r="D1238" s="235"/>
    </row>
    <row r="1239" spans="1:4" ht="20.100000000000001" hidden="1" customHeight="1">
      <c r="A1239" s="236" t="s">
        <v>1174</v>
      </c>
      <c r="B1239" s="109"/>
      <c r="C1239" s="235"/>
      <c r="D1239" s="235"/>
    </row>
    <row r="1240" spans="1:4" ht="20.100000000000001" hidden="1" customHeight="1">
      <c r="A1240" s="236" t="s">
        <v>1175</v>
      </c>
      <c r="B1240" s="109"/>
      <c r="C1240" s="235"/>
      <c r="D1240" s="235"/>
    </row>
    <row r="1241" spans="1:4" ht="20.100000000000001" hidden="1" customHeight="1">
      <c r="A1241" s="236" t="s">
        <v>1176</v>
      </c>
      <c r="B1241" s="109"/>
      <c r="C1241" s="235"/>
      <c r="D1241" s="235"/>
    </row>
    <row r="1242" spans="1:4" ht="20.100000000000001" hidden="1" customHeight="1">
      <c r="A1242" s="236" t="s">
        <v>1177</v>
      </c>
      <c r="B1242" s="109"/>
      <c r="C1242" s="235"/>
      <c r="D1242" s="235"/>
    </row>
    <row r="1243" spans="1:4" ht="20.100000000000001" hidden="1" customHeight="1">
      <c r="A1243" s="236" t="s">
        <v>1178</v>
      </c>
      <c r="B1243" s="109"/>
      <c r="C1243" s="235"/>
      <c r="D1243" s="235"/>
    </row>
    <row r="1244" spans="1:4" ht="20.100000000000001" customHeight="1">
      <c r="A1244" s="236" t="s">
        <v>1179</v>
      </c>
      <c r="B1244" s="109">
        <f>SUM(B1245:B1247)</f>
        <v>45</v>
      </c>
      <c r="C1244" s="235">
        <f>SUM(C1245:C1247)</f>
        <v>45</v>
      </c>
      <c r="D1244" s="235">
        <f>SUM(D1245:D1247)</f>
        <v>0</v>
      </c>
    </row>
    <row r="1245" spans="1:4" ht="20.100000000000001" customHeight="1">
      <c r="A1245" s="236" t="s">
        <v>1180</v>
      </c>
      <c r="B1245" s="109">
        <v>45</v>
      </c>
      <c r="C1245" s="235">
        <v>45</v>
      </c>
      <c r="D1245" s="235"/>
    </row>
    <row r="1246" spans="1:4" ht="20.100000000000001" hidden="1" customHeight="1">
      <c r="A1246" s="236" t="s">
        <v>1181</v>
      </c>
      <c r="B1246" s="109"/>
      <c r="C1246" s="235"/>
      <c r="D1246" s="235"/>
    </row>
    <row r="1247" spans="1:4" ht="20.100000000000001" hidden="1" customHeight="1">
      <c r="A1247" s="236" t="s">
        <v>1182</v>
      </c>
      <c r="B1247" s="109"/>
      <c r="C1247" s="235"/>
      <c r="D1247" s="235"/>
    </row>
    <row r="1248" spans="1:4" ht="20.100000000000001" customHeight="1">
      <c r="A1248" s="236" t="s">
        <v>1183</v>
      </c>
      <c r="B1248" s="109">
        <f>SUM(B1249:B1251)</f>
        <v>1108</v>
      </c>
      <c r="C1248" s="235">
        <f>SUM(C1249:C1251)</f>
        <v>0</v>
      </c>
      <c r="D1248" s="235">
        <v>1108</v>
      </c>
    </row>
    <row r="1249" spans="1:4" ht="20.100000000000001" hidden="1" customHeight="1">
      <c r="A1249" s="236" t="s">
        <v>1184</v>
      </c>
      <c r="B1249" s="109"/>
      <c r="C1249" s="235"/>
      <c r="D1249" s="235"/>
    </row>
    <row r="1250" spans="1:4" ht="20.100000000000001" hidden="1" customHeight="1">
      <c r="A1250" s="236" t="s">
        <v>1185</v>
      </c>
      <c r="B1250" s="109"/>
      <c r="C1250" s="235"/>
      <c r="D1250" s="235"/>
    </row>
    <row r="1251" spans="1:4" ht="20.100000000000001" customHeight="1">
      <c r="A1251" s="236" t="s">
        <v>1186</v>
      </c>
      <c r="B1251" s="109">
        <v>1108</v>
      </c>
      <c r="C1251" s="235"/>
      <c r="D1251" s="235">
        <v>1108</v>
      </c>
    </row>
    <row r="1252" spans="1:4" ht="20.100000000000001" customHeight="1">
      <c r="A1252" s="236" t="s">
        <v>1187</v>
      </c>
      <c r="B1252" s="109">
        <v>117</v>
      </c>
      <c r="C1252" s="235">
        <v>0</v>
      </c>
      <c r="D1252" s="235">
        <v>117</v>
      </c>
    </row>
    <row r="1253" spans="1:4" ht="20.100000000000001" customHeight="1">
      <c r="A1253" s="234" t="s">
        <v>1188</v>
      </c>
      <c r="B1253" s="109">
        <v>10000</v>
      </c>
      <c r="C1253" s="235">
        <v>10000</v>
      </c>
      <c r="D1253" s="235">
        <v>0</v>
      </c>
    </row>
    <row r="1254" spans="1:4" ht="20.100000000000001" customHeight="1">
      <c r="A1254" s="234" t="s">
        <v>1189</v>
      </c>
      <c r="B1254" s="109">
        <f>SUM(B1255)</f>
        <v>20900</v>
      </c>
      <c r="C1254" s="235">
        <f>SUM(C1255)</f>
        <v>20900</v>
      </c>
      <c r="D1254" s="235">
        <f>SUM(D1255)</f>
        <v>0</v>
      </c>
    </row>
    <row r="1255" spans="1:4" ht="20.100000000000001" customHeight="1">
      <c r="A1255" s="236" t="s">
        <v>1190</v>
      </c>
      <c r="B1255" s="109">
        <f>SUM(B1256:B1259)</f>
        <v>20900</v>
      </c>
      <c r="C1255" s="235">
        <f>SUM(C1256:C1259)</f>
        <v>20900</v>
      </c>
      <c r="D1255" s="235">
        <f>SUM(D1256:D1259)</f>
        <v>0</v>
      </c>
    </row>
    <row r="1256" spans="1:4" ht="20.100000000000001" customHeight="1">
      <c r="A1256" s="236" t="s">
        <v>1191</v>
      </c>
      <c r="B1256" s="109">
        <v>20900</v>
      </c>
      <c r="C1256" s="235">
        <v>20900</v>
      </c>
      <c r="D1256" s="235"/>
    </row>
    <row r="1257" spans="1:4" ht="20.100000000000001" hidden="1" customHeight="1">
      <c r="A1257" s="236" t="s">
        <v>1192</v>
      </c>
      <c r="B1257" s="109"/>
      <c r="C1257" s="235"/>
      <c r="D1257" s="235"/>
    </row>
    <row r="1258" spans="1:4" ht="20.100000000000001" hidden="1" customHeight="1">
      <c r="A1258" s="236" t="s">
        <v>1193</v>
      </c>
      <c r="B1258" s="109"/>
      <c r="C1258" s="235"/>
      <c r="D1258" s="235"/>
    </row>
    <row r="1259" spans="1:4" ht="20.100000000000001" hidden="1" customHeight="1">
      <c r="A1259" s="236" t="s">
        <v>1194</v>
      </c>
      <c r="B1259" s="109"/>
      <c r="C1259" s="235"/>
      <c r="D1259" s="235"/>
    </row>
    <row r="1260" spans="1:4" ht="20.100000000000001" hidden="1" customHeight="1">
      <c r="A1260" s="234" t="s">
        <v>1195</v>
      </c>
      <c r="B1260" s="109">
        <f>SUM(B1261)</f>
        <v>0</v>
      </c>
      <c r="C1260" s="235">
        <f>SUM(C1261)</f>
        <v>0</v>
      </c>
      <c r="D1260" s="235">
        <f>SUM(D1261)</f>
        <v>0</v>
      </c>
    </row>
    <row r="1261" spans="1:4" ht="20.100000000000001" hidden="1" customHeight="1">
      <c r="A1261" s="236" t="s">
        <v>1196</v>
      </c>
      <c r="B1261" s="109"/>
      <c r="C1261" s="235"/>
      <c r="D1261" s="235"/>
    </row>
    <row r="1262" spans="1:4" ht="20.100000000000001" customHeight="1">
      <c r="A1262" s="234" t="s">
        <v>1197</v>
      </c>
      <c r="B1262" s="109">
        <f>SUM(B1263:B1264)</f>
        <v>14927</v>
      </c>
      <c r="C1262" s="235">
        <f>SUM(C1263:C1264)</f>
        <v>12654</v>
      </c>
      <c r="D1262" s="235">
        <v>2273</v>
      </c>
    </row>
    <row r="1263" spans="1:4" ht="20.100000000000001" customHeight="1">
      <c r="A1263" s="236" t="s">
        <v>1198</v>
      </c>
      <c r="B1263" s="109">
        <v>11634</v>
      </c>
      <c r="C1263" s="235">
        <v>11634</v>
      </c>
      <c r="D1263" s="235"/>
    </row>
    <row r="1264" spans="1:4" ht="20.100000000000001" customHeight="1">
      <c r="A1264" s="236" t="s">
        <v>1052</v>
      </c>
      <c r="B1264" s="109">
        <f>1020+2273</f>
        <v>3293</v>
      </c>
      <c r="C1264" s="235">
        <f>1020</f>
        <v>1020</v>
      </c>
      <c r="D1264" s="235">
        <v>2273</v>
      </c>
    </row>
    <row r="1265" spans="1:4" ht="20.100000000000001" customHeight="1">
      <c r="A1265" s="237"/>
      <c r="B1265" s="238"/>
      <c r="C1265" s="239"/>
      <c r="D1265" s="239"/>
    </row>
    <row r="1266" spans="1:4" ht="20.100000000000001" customHeight="1">
      <c r="A1266" s="240" t="s">
        <v>113</v>
      </c>
      <c r="B1266" s="109">
        <f>B4+B233+B237+B249+B339+B390+B446+B503+B628+B698+B772+B791+B902+B966+B1030+B1050+B1080+B1090+B1134+B1154+B1198+B1253+B1254+B1260+B1262</f>
        <v>415782</v>
      </c>
      <c r="C1266" s="235">
        <f>C4+C233+C237+C249+C339+C390+C446+C503+C628+C698+C772+C791+C902+C966+C1030+C1050+C1080+C1090+C1134+C1154+C1198+C1253+C1254+C1260+C1262</f>
        <v>319590</v>
      </c>
      <c r="D1266" s="235">
        <f>D4+D233+D237+D249+D339+D390+D446+D503+D628+D698+D772+D791+D902+D966+D1030+D1050+D1080+D1090+D1134+D1154+D1198+D1253+D1254+D1260+D1262</f>
        <v>96192</v>
      </c>
    </row>
    <row r="1267" spans="1:4" ht="15.95" customHeight="1">
      <c r="A1267" s="351"/>
      <c r="B1267" s="351"/>
    </row>
    <row r="1268" spans="1:4" ht="15.95" customHeight="1">
      <c r="A1268" s="241"/>
      <c r="B1268" s="242"/>
      <c r="D1268" s="83">
        <v>96192</v>
      </c>
    </row>
    <row r="1269" spans="1:4" s="52" customFormat="1" ht="20.100000000000001" customHeight="1">
      <c r="A1269" s="241"/>
      <c r="B1269" s="242"/>
      <c r="D1269" s="52">
        <f>D1266-D1268</f>
        <v>0</v>
      </c>
    </row>
    <row r="1270" spans="1:4" s="52" customFormat="1">
      <c r="A1270" s="241"/>
      <c r="B1270" s="242"/>
    </row>
    <row r="1271" spans="1:4" s="52" customFormat="1">
      <c r="A1271" s="241"/>
      <c r="B1271" s="242"/>
    </row>
    <row r="1272" spans="1:4" s="52" customFormat="1">
      <c r="A1272" s="241"/>
      <c r="B1272" s="242"/>
    </row>
    <row r="1273" spans="1:4" s="52" customFormat="1">
      <c r="A1273" s="241"/>
      <c r="B1273" s="242"/>
    </row>
    <row r="1274" spans="1:4" s="52" customFormat="1">
      <c r="A1274" s="241"/>
      <c r="B1274" s="242"/>
    </row>
    <row r="1275" spans="1:4" s="52" customFormat="1">
      <c r="A1275" s="241"/>
      <c r="B1275" s="242"/>
    </row>
    <row r="1276" spans="1:4" s="52" customFormat="1">
      <c r="A1276" s="241"/>
      <c r="B1276" s="242"/>
    </row>
    <row r="1277" spans="1:4" s="52" customFormat="1">
      <c r="A1277" s="241"/>
      <c r="B1277" s="242"/>
    </row>
    <row r="1278" spans="1:4" s="52" customFormat="1">
      <c r="A1278" s="241"/>
      <c r="B1278" s="242"/>
    </row>
    <row r="1279" spans="1:4" s="52" customFormat="1">
      <c r="A1279" s="241"/>
      <c r="B1279" s="242"/>
    </row>
    <row r="1280" spans="1:4" s="52" customFormat="1">
      <c r="A1280" s="241"/>
      <c r="B1280" s="242"/>
    </row>
    <row r="1281" spans="1:2" s="52" customFormat="1">
      <c r="A1281" s="241"/>
      <c r="B1281" s="242"/>
    </row>
    <row r="1282" spans="1:2" s="52" customFormat="1">
      <c r="A1282" s="241"/>
      <c r="B1282" s="242"/>
    </row>
    <row r="1283" spans="1:2" s="52" customFormat="1">
      <c r="A1283" s="241"/>
      <c r="B1283" s="242"/>
    </row>
    <row r="1284" spans="1:2" s="52" customFormat="1">
      <c r="A1284" s="241"/>
      <c r="B1284" s="242"/>
    </row>
    <row r="1285" spans="1:2" s="52" customFormat="1">
      <c r="A1285" s="241"/>
      <c r="B1285" s="242"/>
    </row>
    <row r="1286" spans="1:2" s="52" customFormat="1">
      <c r="A1286" s="241"/>
      <c r="B1286" s="242"/>
    </row>
    <row r="1287" spans="1:2" s="52" customFormat="1">
      <c r="A1287" s="241"/>
      <c r="B1287" s="242"/>
    </row>
    <row r="1288" spans="1:2" s="52" customFormat="1">
      <c r="A1288" s="241"/>
      <c r="B1288" s="242"/>
    </row>
    <row r="1289" spans="1:2" s="52" customFormat="1">
      <c r="A1289" s="241"/>
      <c r="B1289" s="242"/>
    </row>
    <row r="1290" spans="1:2" s="52" customFormat="1">
      <c r="A1290" s="241"/>
      <c r="B1290" s="242"/>
    </row>
    <row r="1291" spans="1:2" s="52" customFormat="1">
      <c r="A1291" s="241"/>
      <c r="B1291" s="242"/>
    </row>
    <row r="1292" spans="1:2" s="52" customFormat="1">
      <c r="A1292" s="241"/>
      <c r="B1292" s="242"/>
    </row>
    <row r="1293" spans="1:2" s="52" customFormat="1">
      <c r="A1293" s="241"/>
      <c r="B1293" s="242"/>
    </row>
    <row r="1294" spans="1:2" s="52" customFormat="1">
      <c r="A1294" s="241"/>
      <c r="B1294" s="242"/>
    </row>
    <row r="1295" spans="1:2" s="52" customFormat="1">
      <c r="A1295" s="241"/>
      <c r="B1295" s="242"/>
    </row>
    <row r="1296" spans="1:2" s="52" customFormat="1">
      <c r="A1296" s="241"/>
      <c r="B1296" s="242"/>
    </row>
    <row r="1297" spans="1:2" s="52" customFormat="1">
      <c r="A1297" s="241"/>
      <c r="B1297" s="242"/>
    </row>
    <row r="1298" spans="1:2" s="52" customFormat="1">
      <c r="A1298" s="241"/>
      <c r="B1298" s="242"/>
    </row>
    <row r="1299" spans="1:2" s="52" customFormat="1">
      <c r="A1299" s="241"/>
      <c r="B1299" s="242"/>
    </row>
    <row r="1300" spans="1:2" s="52" customFormat="1">
      <c r="A1300" s="241"/>
      <c r="B1300" s="242"/>
    </row>
    <row r="1301" spans="1:2" s="52" customFormat="1">
      <c r="A1301" s="241"/>
      <c r="B1301" s="242"/>
    </row>
    <row r="1302" spans="1:2" s="52" customFormat="1">
      <c r="A1302" s="241"/>
      <c r="B1302" s="242"/>
    </row>
    <row r="1303" spans="1:2" s="52" customFormat="1">
      <c r="A1303" s="241"/>
      <c r="B1303" s="242"/>
    </row>
    <row r="1304" spans="1:2" s="52" customFormat="1">
      <c r="A1304" s="241"/>
      <c r="B1304" s="242"/>
    </row>
    <row r="1305" spans="1:2" s="52" customFormat="1">
      <c r="A1305" s="241"/>
      <c r="B1305" s="242"/>
    </row>
    <row r="1306" spans="1:2" s="52" customFormat="1">
      <c r="A1306" s="241"/>
      <c r="B1306" s="242"/>
    </row>
    <row r="1307" spans="1:2" s="52" customFormat="1">
      <c r="A1307" s="241"/>
      <c r="B1307" s="242"/>
    </row>
    <row r="1308" spans="1:2" s="52" customFormat="1">
      <c r="A1308" s="241"/>
      <c r="B1308" s="242"/>
    </row>
    <row r="1309" spans="1:2" s="52" customFormat="1">
      <c r="A1309" s="241"/>
      <c r="B1309" s="242"/>
    </row>
    <row r="1310" spans="1:2" s="52" customFormat="1">
      <c r="A1310" s="241"/>
      <c r="B1310" s="242"/>
    </row>
    <row r="1311" spans="1:2" s="52" customFormat="1">
      <c r="A1311" s="241"/>
      <c r="B1311" s="242"/>
    </row>
    <row r="1312" spans="1:2" s="52" customFormat="1">
      <c r="A1312" s="241"/>
      <c r="B1312" s="242"/>
    </row>
    <row r="1313" spans="1:2" s="52" customFormat="1">
      <c r="A1313" s="241"/>
      <c r="B1313" s="242"/>
    </row>
    <row r="1314" spans="1:2" s="52" customFormat="1">
      <c r="A1314" s="241"/>
      <c r="B1314" s="242"/>
    </row>
    <row r="1315" spans="1:2" s="52" customFormat="1">
      <c r="A1315" s="241"/>
      <c r="B1315" s="242"/>
    </row>
    <row r="1316" spans="1:2" s="52" customFormat="1">
      <c r="A1316" s="241"/>
      <c r="B1316" s="242"/>
    </row>
    <row r="1317" spans="1:2" s="52" customFormat="1">
      <c r="A1317" s="241"/>
      <c r="B1317" s="242"/>
    </row>
    <row r="1318" spans="1:2" s="52" customFormat="1">
      <c r="A1318" s="241"/>
      <c r="B1318" s="242"/>
    </row>
    <row r="1319" spans="1:2" s="52" customFormat="1">
      <c r="A1319" s="241"/>
      <c r="B1319" s="242"/>
    </row>
    <row r="1320" spans="1:2" s="52" customFormat="1">
      <c r="A1320" s="241"/>
      <c r="B1320" s="242"/>
    </row>
    <row r="1321" spans="1:2" s="52" customFormat="1">
      <c r="A1321" s="241"/>
      <c r="B1321" s="242"/>
    </row>
    <row r="1322" spans="1:2" s="52" customFormat="1">
      <c r="A1322" s="241"/>
      <c r="B1322" s="242"/>
    </row>
    <row r="1323" spans="1:2" s="52" customFormat="1">
      <c r="A1323" s="241"/>
      <c r="B1323" s="242"/>
    </row>
    <row r="1324" spans="1:2" s="52" customFormat="1">
      <c r="A1324" s="241"/>
      <c r="B1324" s="242"/>
    </row>
    <row r="1325" spans="1:2" s="52" customFormat="1">
      <c r="A1325" s="241"/>
      <c r="B1325" s="242"/>
    </row>
    <row r="1326" spans="1:2" s="52" customFormat="1">
      <c r="A1326" s="241"/>
      <c r="B1326" s="242"/>
    </row>
    <row r="1327" spans="1:2" s="52" customFormat="1">
      <c r="A1327" s="241"/>
      <c r="B1327" s="242"/>
    </row>
    <row r="1328" spans="1:2" s="52" customFormat="1">
      <c r="A1328" s="241"/>
      <c r="B1328" s="242"/>
    </row>
    <row r="1329" spans="1:2" s="52" customFormat="1">
      <c r="A1329" s="241"/>
      <c r="B1329" s="242"/>
    </row>
    <row r="1330" spans="1:2" s="52" customFormat="1">
      <c r="A1330" s="241"/>
      <c r="B1330" s="242"/>
    </row>
    <row r="1331" spans="1:2" s="52" customFormat="1">
      <c r="A1331" s="241"/>
      <c r="B1331" s="242"/>
    </row>
    <row r="1332" spans="1:2" s="52" customFormat="1">
      <c r="A1332" s="243"/>
    </row>
    <row r="1333" spans="1:2" s="52" customFormat="1">
      <c r="A1333" s="243"/>
    </row>
    <row r="1334" spans="1:2" s="52" customFormat="1">
      <c r="A1334" s="243"/>
    </row>
    <row r="1335" spans="1:2" s="52" customFormat="1">
      <c r="A1335" s="243"/>
    </row>
    <row r="1336" spans="1:2" s="52" customFormat="1">
      <c r="A1336" s="243"/>
    </row>
    <row r="1337" spans="1:2" s="52" customFormat="1">
      <c r="A1337" s="243"/>
    </row>
    <row r="1338" spans="1:2" s="52" customFormat="1">
      <c r="A1338" s="243"/>
    </row>
    <row r="1339" spans="1:2" s="52" customFormat="1">
      <c r="A1339" s="243"/>
    </row>
    <row r="1340" spans="1:2" s="52" customFormat="1">
      <c r="A1340" s="243"/>
    </row>
    <row r="1341" spans="1:2" s="52" customFormat="1">
      <c r="A1341" s="243"/>
    </row>
    <row r="1342" spans="1:2" s="52" customFormat="1">
      <c r="A1342" s="243"/>
    </row>
    <row r="1343" spans="1:2" s="52" customFormat="1">
      <c r="A1343" s="243"/>
    </row>
    <row r="1344" spans="1:2" s="52" customFormat="1">
      <c r="A1344" s="243"/>
    </row>
    <row r="1345" spans="1:1" s="52" customFormat="1">
      <c r="A1345" s="243"/>
    </row>
    <row r="1346" spans="1:1" s="52" customFormat="1">
      <c r="A1346" s="243"/>
    </row>
    <row r="1347" spans="1:1" s="52" customFormat="1">
      <c r="A1347" s="243"/>
    </row>
    <row r="1348" spans="1:1" s="52" customFormat="1">
      <c r="A1348" s="243"/>
    </row>
    <row r="1349" spans="1:1" s="52" customFormat="1">
      <c r="A1349" s="243"/>
    </row>
    <row r="1350" spans="1:1" s="52" customFormat="1">
      <c r="A1350" s="243"/>
    </row>
    <row r="1351" spans="1:1" s="52" customFormat="1">
      <c r="A1351" s="243"/>
    </row>
    <row r="1352" spans="1:1" s="52" customFormat="1">
      <c r="A1352" s="243"/>
    </row>
    <row r="1353" spans="1:1" s="52" customFormat="1">
      <c r="A1353" s="243"/>
    </row>
    <row r="1354" spans="1:1" s="52" customFormat="1">
      <c r="A1354" s="243"/>
    </row>
    <row r="1355" spans="1:1" s="52" customFormat="1">
      <c r="A1355" s="243"/>
    </row>
    <row r="1356" spans="1:1" s="52" customFormat="1">
      <c r="A1356" s="243"/>
    </row>
    <row r="1357" spans="1:1" s="52" customFormat="1">
      <c r="A1357" s="243"/>
    </row>
    <row r="1358" spans="1:1" s="52" customFormat="1">
      <c r="A1358" s="243"/>
    </row>
    <row r="1359" spans="1:1" s="52" customFormat="1">
      <c r="A1359" s="243"/>
    </row>
    <row r="1360" spans="1:1" s="52" customFormat="1">
      <c r="A1360" s="243"/>
    </row>
    <row r="1361" spans="1:1" s="52" customFormat="1">
      <c r="A1361" s="243"/>
    </row>
    <row r="1362" spans="1:1" s="52" customFormat="1">
      <c r="A1362" s="243"/>
    </row>
    <row r="1363" spans="1:1" s="52" customFormat="1">
      <c r="A1363" s="243"/>
    </row>
    <row r="1364" spans="1:1" s="52" customFormat="1">
      <c r="A1364" s="243"/>
    </row>
    <row r="1365" spans="1:1" s="52" customFormat="1">
      <c r="A1365" s="243"/>
    </row>
    <row r="1366" spans="1:1" s="52" customFormat="1">
      <c r="A1366" s="243"/>
    </row>
    <row r="1367" spans="1:1" s="52" customFormat="1">
      <c r="A1367" s="243"/>
    </row>
    <row r="1368" spans="1:1" s="52" customFormat="1">
      <c r="A1368" s="243"/>
    </row>
    <row r="1369" spans="1:1" s="52" customFormat="1">
      <c r="A1369" s="243"/>
    </row>
    <row r="1370" spans="1:1" s="52" customFormat="1">
      <c r="A1370" s="243"/>
    </row>
    <row r="1371" spans="1:1" s="52" customFormat="1">
      <c r="A1371" s="243"/>
    </row>
    <row r="1372" spans="1:1" s="52" customFormat="1">
      <c r="A1372" s="243"/>
    </row>
    <row r="1373" spans="1:1" s="52" customFormat="1">
      <c r="A1373" s="243"/>
    </row>
    <row r="1374" spans="1:1" s="52" customFormat="1">
      <c r="A1374" s="243"/>
    </row>
    <row r="1375" spans="1:1" s="52" customFormat="1">
      <c r="A1375" s="243"/>
    </row>
    <row r="1376" spans="1:1" s="52" customFormat="1">
      <c r="A1376" s="243"/>
    </row>
    <row r="1377" spans="1:1" s="52" customFormat="1">
      <c r="A1377" s="243"/>
    </row>
    <row r="1378" spans="1:1" s="52" customFormat="1">
      <c r="A1378" s="243"/>
    </row>
    <row r="1379" spans="1:1" s="52" customFormat="1">
      <c r="A1379" s="243"/>
    </row>
    <row r="1380" spans="1:1" s="52" customFormat="1">
      <c r="A1380" s="243"/>
    </row>
    <row r="1381" spans="1:1" s="52" customFormat="1">
      <c r="A1381" s="243"/>
    </row>
    <row r="1382" spans="1:1" s="52" customFormat="1">
      <c r="A1382" s="243"/>
    </row>
    <row r="1383" spans="1:1" s="52" customFormat="1">
      <c r="A1383" s="243"/>
    </row>
    <row r="1384" spans="1:1" s="52" customFormat="1">
      <c r="A1384" s="243"/>
    </row>
    <row r="1385" spans="1:1" s="52" customFormat="1">
      <c r="A1385" s="243"/>
    </row>
    <row r="1386" spans="1:1" s="52" customFormat="1">
      <c r="A1386" s="243"/>
    </row>
    <row r="1387" spans="1:1" s="52" customFormat="1">
      <c r="A1387" s="243"/>
    </row>
    <row r="1388" spans="1:1" s="52" customFormat="1">
      <c r="A1388" s="243"/>
    </row>
    <row r="1389" spans="1:1" s="52" customFormat="1">
      <c r="A1389" s="243"/>
    </row>
    <row r="1390" spans="1:1" s="52" customFormat="1">
      <c r="A1390" s="243"/>
    </row>
    <row r="1391" spans="1:1" s="52" customFormat="1">
      <c r="A1391" s="243"/>
    </row>
    <row r="1392" spans="1:1" s="52" customFormat="1">
      <c r="A1392" s="243"/>
    </row>
    <row r="1393" spans="1:1" s="52" customFormat="1">
      <c r="A1393" s="243"/>
    </row>
    <row r="1394" spans="1:1" s="52" customFormat="1">
      <c r="A1394" s="243"/>
    </row>
    <row r="1395" spans="1:1" s="52" customFormat="1">
      <c r="A1395" s="243"/>
    </row>
    <row r="1396" spans="1:1" s="52" customFormat="1">
      <c r="A1396" s="243"/>
    </row>
    <row r="1397" spans="1:1" s="52" customFormat="1">
      <c r="A1397" s="243"/>
    </row>
    <row r="1398" spans="1:1" s="52" customFormat="1">
      <c r="A1398" s="243"/>
    </row>
    <row r="1399" spans="1:1" s="52" customFormat="1">
      <c r="A1399" s="243"/>
    </row>
    <row r="1400" spans="1:1" s="52" customFormat="1">
      <c r="A1400" s="243"/>
    </row>
    <row r="1401" spans="1:1" s="52" customFormat="1">
      <c r="A1401" s="243"/>
    </row>
    <row r="1402" spans="1:1" s="52" customFormat="1">
      <c r="A1402" s="243"/>
    </row>
    <row r="1403" spans="1:1" s="52" customFormat="1">
      <c r="A1403" s="243"/>
    </row>
    <row r="1404" spans="1:1" s="52" customFormat="1">
      <c r="A1404" s="243"/>
    </row>
    <row r="1405" spans="1:1" s="52" customFormat="1">
      <c r="A1405" s="243"/>
    </row>
    <row r="1406" spans="1:1" s="52" customFormat="1">
      <c r="A1406" s="243"/>
    </row>
    <row r="1407" spans="1:1" s="52" customFormat="1">
      <c r="A1407" s="243"/>
    </row>
    <row r="1408" spans="1:1" s="52" customFormat="1">
      <c r="A1408" s="243"/>
    </row>
    <row r="1409" spans="1:1" s="52" customFormat="1">
      <c r="A1409" s="243"/>
    </row>
    <row r="1410" spans="1:1" s="52" customFormat="1">
      <c r="A1410" s="243"/>
    </row>
    <row r="1411" spans="1:1" s="52" customFormat="1">
      <c r="A1411" s="243"/>
    </row>
    <row r="1412" spans="1:1" s="52" customFormat="1">
      <c r="A1412" s="243"/>
    </row>
    <row r="1413" spans="1:1" s="52" customFormat="1">
      <c r="A1413" s="243"/>
    </row>
    <row r="1414" spans="1:1" s="52" customFormat="1">
      <c r="A1414" s="243"/>
    </row>
    <row r="1415" spans="1:1" s="52" customFormat="1">
      <c r="A1415" s="243"/>
    </row>
    <row r="1416" spans="1:1" s="52" customFormat="1">
      <c r="A1416" s="243"/>
    </row>
    <row r="1417" spans="1:1" s="52" customFormat="1">
      <c r="A1417" s="243"/>
    </row>
    <row r="1418" spans="1:1" s="52" customFormat="1">
      <c r="A1418" s="243"/>
    </row>
    <row r="1419" spans="1:1" s="52" customFormat="1">
      <c r="A1419" s="243"/>
    </row>
    <row r="1420" spans="1:1" s="52" customFormat="1">
      <c r="A1420" s="243"/>
    </row>
    <row r="1421" spans="1:1" s="52" customFormat="1">
      <c r="A1421" s="243"/>
    </row>
    <row r="1422" spans="1:1" s="52" customFormat="1">
      <c r="A1422" s="243"/>
    </row>
    <row r="1423" spans="1:1" s="52" customFormat="1">
      <c r="A1423" s="243"/>
    </row>
    <row r="1424" spans="1:1" s="52" customFormat="1">
      <c r="A1424" s="243"/>
    </row>
    <row r="1425" spans="1:1" s="52" customFormat="1">
      <c r="A1425" s="243"/>
    </row>
    <row r="1426" spans="1:1" s="52" customFormat="1">
      <c r="A1426" s="243"/>
    </row>
    <row r="1427" spans="1:1" s="52" customFormat="1">
      <c r="A1427" s="243"/>
    </row>
    <row r="1428" spans="1:1" s="52" customFormat="1">
      <c r="A1428" s="243"/>
    </row>
    <row r="1429" spans="1:1" s="52" customFormat="1">
      <c r="A1429" s="243"/>
    </row>
    <row r="1430" spans="1:1" s="52" customFormat="1">
      <c r="A1430" s="243"/>
    </row>
    <row r="1431" spans="1:1" s="52" customFormat="1">
      <c r="A1431" s="243"/>
    </row>
    <row r="1432" spans="1:1" s="52" customFormat="1">
      <c r="A1432" s="243"/>
    </row>
    <row r="1433" spans="1:1" s="52" customFormat="1">
      <c r="A1433" s="243"/>
    </row>
    <row r="1434" spans="1:1" s="52" customFormat="1">
      <c r="A1434" s="243"/>
    </row>
    <row r="1435" spans="1:1" s="52" customFormat="1">
      <c r="A1435" s="243"/>
    </row>
    <row r="1436" spans="1:1" s="52" customFormat="1">
      <c r="A1436" s="243"/>
    </row>
    <row r="1437" spans="1:1" s="52" customFormat="1">
      <c r="A1437" s="243"/>
    </row>
    <row r="1438" spans="1:1" s="52" customFormat="1">
      <c r="A1438" s="243"/>
    </row>
    <row r="1439" spans="1:1" s="52" customFormat="1">
      <c r="A1439" s="243"/>
    </row>
    <row r="1440" spans="1:1" s="52" customFormat="1">
      <c r="A1440" s="243"/>
    </row>
    <row r="1441" spans="1:1" s="52" customFormat="1">
      <c r="A1441" s="243"/>
    </row>
    <row r="1442" spans="1:1" s="52" customFormat="1">
      <c r="A1442" s="243"/>
    </row>
    <row r="1443" spans="1:1" s="52" customFormat="1">
      <c r="A1443" s="243"/>
    </row>
    <row r="1444" spans="1:1" s="52" customFormat="1">
      <c r="A1444" s="243"/>
    </row>
    <row r="1445" spans="1:1" s="52" customFormat="1">
      <c r="A1445" s="243"/>
    </row>
    <row r="1446" spans="1:1" s="52" customFormat="1">
      <c r="A1446" s="243"/>
    </row>
    <row r="1447" spans="1:1" s="52" customFormat="1">
      <c r="A1447" s="243"/>
    </row>
    <row r="1448" spans="1:1" s="52" customFormat="1">
      <c r="A1448" s="243"/>
    </row>
    <row r="1449" spans="1:1" s="52" customFormat="1">
      <c r="A1449" s="243"/>
    </row>
    <row r="1450" spans="1:1" s="52" customFormat="1">
      <c r="A1450" s="243"/>
    </row>
    <row r="1451" spans="1:1" s="52" customFormat="1">
      <c r="A1451" s="243"/>
    </row>
    <row r="1452" spans="1:1" s="52" customFormat="1">
      <c r="A1452" s="243"/>
    </row>
    <row r="1453" spans="1:1" s="52" customFormat="1">
      <c r="A1453" s="243"/>
    </row>
    <row r="1454" spans="1:1" s="52" customFormat="1">
      <c r="A1454" s="243"/>
    </row>
    <row r="1455" spans="1:1" s="52" customFormat="1">
      <c r="A1455" s="243"/>
    </row>
    <row r="1456" spans="1:1" s="52" customFormat="1">
      <c r="A1456" s="243"/>
    </row>
    <row r="1457" spans="1:1" s="52" customFormat="1">
      <c r="A1457" s="243"/>
    </row>
    <row r="1458" spans="1:1" s="52" customFormat="1">
      <c r="A1458" s="243"/>
    </row>
    <row r="1459" spans="1:1" s="52" customFormat="1">
      <c r="A1459" s="243"/>
    </row>
    <row r="1460" spans="1:1" s="52" customFormat="1">
      <c r="A1460" s="243"/>
    </row>
    <row r="1461" spans="1:1" s="52" customFormat="1">
      <c r="A1461" s="243"/>
    </row>
    <row r="1462" spans="1:1" s="52" customFormat="1">
      <c r="A1462" s="243"/>
    </row>
    <row r="1463" spans="1:1" s="52" customFormat="1">
      <c r="A1463" s="243"/>
    </row>
    <row r="1464" spans="1:1" s="52" customFormat="1">
      <c r="A1464" s="243"/>
    </row>
    <row r="1465" spans="1:1" s="52" customFormat="1">
      <c r="A1465" s="243"/>
    </row>
    <row r="1466" spans="1:1" s="52" customFormat="1">
      <c r="A1466" s="243"/>
    </row>
    <row r="1467" spans="1:1" s="52" customFormat="1">
      <c r="A1467" s="243"/>
    </row>
    <row r="1468" spans="1:1" s="52" customFormat="1">
      <c r="A1468" s="243"/>
    </row>
    <row r="1469" spans="1:1" s="52" customFormat="1">
      <c r="A1469" s="243"/>
    </row>
    <row r="1470" spans="1:1" s="52" customFormat="1">
      <c r="A1470" s="243"/>
    </row>
    <row r="1471" spans="1:1" s="52" customFormat="1">
      <c r="A1471" s="243"/>
    </row>
    <row r="1472" spans="1:1" s="52" customFormat="1">
      <c r="A1472" s="243"/>
    </row>
    <row r="1473" spans="1:1" s="52" customFormat="1">
      <c r="A1473" s="243"/>
    </row>
    <row r="1474" spans="1:1" s="52" customFormat="1">
      <c r="A1474" s="243"/>
    </row>
    <row r="1475" spans="1:1" s="52" customFormat="1">
      <c r="A1475" s="243"/>
    </row>
    <row r="1476" spans="1:1" s="52" customFormat="1">
      <c r="A1476" s="243"/>
    </row>
    <row r="1477" spans="1:1" s="52" customFormat="1">
      <c r="A1477" s="243"/>
    </row>
    <row r="1478" spans="1:1" s="52" customFormat="1">
      <c r="A1478" s="243"/>
    </row>
    <row r="1479" spans="1:1" s="52" customFormat="1">
      <c r="A1479" s="243"/>
    </row>
    <row r="1480" spans="1:1" s="52" customFormat="1">
      <c r="A1480" s="243"/>
    </row>
    <row r="1481" spans="1:1" s="52" customFormat="1">
      <c r="A1481" s="243"/>
    </row>
    <row r="1482" spans="1:1" s="52" customFormat="1">
      <c r="A1482" s="243"/>
    </row>
    <row r="1483" spans="1:1" s="52" customFormat="1">
      <c r="A1483" s="243"/>
    </row>
    <row r="1484" spans="1:1" s="52" customFormat="1">
      <c r="A1484" s="243"/>
    </row>
    <row r="1485" spans="1:1" s="52" customFormat="1">
      <c r="A1485" s="243"/>
    </row>
    <row r="1486" spans="1:1" s="52" customFormat="1">
      <c r="A1486" s="243"/>
    </row>
    <row r="1487" spans="1:1" s="52" customFormat="1">
      <c r="A1487" s="243"/>
    </row>
    <row r="1488" spans="1:1" s="52" customFormat="1">
      <c r="A1488" s="243"/>
    </row>
    <row r="1489" spans="1:1" s="52" customFormat="1">
      <c r="A1489" s="243"/>
    </row>
    <row r="1490" spans="1:1" s="52" customFormat="1">
      <c r="A1490" s="243"/>
    </row>
    <row r="1491" spans="1:1" s="52" customFormat="1">
      <c r="A1491" s="243"/>
    </row>
    <row r="1492" spans="1:1" s="52" customFormat="1">
      <c r="A1492" s="243"/>
    </row>
    <row r="1493" spans="1:1" s="52" customFormat="1">
      <c r="A1493" s="243"/>
    </row>
    <row r="1494" spans="1:1" s="52" customFormat="1">
      <c r="A1494" s="243"/>
    </row>
    <row r="1495" spans="1:1" s="52" customFormat="1">
      <c r="A1495" s="243"/>
    </row>
    <row r="1496" spans="1:1" s="52" customFormat="1">
      <c r="A1496" s="243"/>
    </row>
    <row r="1497" spans="1:1" s="52" customFormat="1">
      <c r="A1497" s="243"/>
    </row>
    <row r="1498" spans="1:1" s="52" customFormat="1">
      <c r="A1498" s="243"/>
    </row>
    <row r="1499" spans="1:1" s="52" customFormat="1">
      <c r="A1499" s="243"/>
    </row>
    <row r="1500" spans="1:1" s="52" customFormat="1">
      <c r="A1500" s="243"/>
    </row>
    <row r="1501" spans="1:1" s="52" customFormat="1">
      <c r="A1501" s="243"/>
    </row>
    <row r="1502" spans="1:1" s="52" customFormat="1">
      <c r="A1502" s="243"/>
    </row>
    <row r="1503" spans="1:1" s="52" customFormat="1">
      <c r="A1503" s="243"/>
    </row>
    <row r="1504" spans="1:1" s="52" customFormat="1">
      <c r="A1504" s="243"/>
    </row>
    <row r="1505" spans="1:2" s="52" customFormat="1">
      <c r="A1505" s="243"/>
    </row>
    <row r="1506" spans="1:2" s="52" customFormat="1">
      <c r="A1506" s="243"/>
    </row>
    <row r="1507" spans="1:2" s="52" customFormat="1">
      <c r="A1507" s="243"/>
    </row>
    <row r="1508" spans="1:2" s="52" customFormat="1">
      <c r="A1508" s="243"/>
    </row>
    <row r="1509" spans="1:2" s="52" customFormat="1">
      <c r="A1509" s="243"/>
    </row>
    <row r="1510" spans="1:2" s="52" customFormat="1">
      <c r="A1510" s="243"/>
    </row>
    <row r="1511" spans="1:2" s="52" customFormat="1">
      <c r="A1511" s="243"/>
    </row>
    <row r="1512" spans="1:2" s="52" customFormat="1">
      <c r="A1512" s="243"/>
    </row>
    <row r="1513" spans="1:2" s="52" customFormat="1">
      <c r="A1513" s="243"/>
    </row>
    <row r="1514" spans="1:2" s="52" customFormat="1">
      <c r="A1514" s="243"/>
    </row>
    <row r="1515" spans="1:2" s="52" customFormat="1">
      <c r="A1515" s="231"/>
      <c r="B1515" s="83"/>
    </row>
    <row r="1516" spans="1:2" s="52" customFormat="1">
      <c r="A1516" s="231"/>
      <c r="B1516" s="83"/>
    </row>
  </sheetData>
  <autoFilter ref="A3:B1514" xr:uid="{00000000-0009-0000-0000-00000A000000}"/>
  <mergeCells count="2">
    <mergeCell ref="A1:B1"/>
    <mergeCell ref="A1267:B1267"/>
  </mergeCells>
  <phoneticPr fontId="54" type="noConversion"/>
  <printOptions horizontalCentered="1"/>
  <pageMargins left="0.78680555555555598" right="0.78680555555555598" top="0.78680555555555598" bottom="0.98402777777777795" header="0.51180555555555596" footer="0.51180555555555596"/>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Z29"/>
  <sheetViews>
    <sheetView showZeros="0" view="pageBreakPreview" zoomScaleNormal="100" zoomScaleSheetLayoutView="100" workbookViewId="0">
      <pane xSplit="1" ySplit="4" topLeftCell="AS5" activePane="bottomRight" state="frozen"/>
      <selection pane="topRight"/>
      <selection pane="bottomLeft"/>
      <selection pane="bottomRight" activeCell="BJ7" sqref="BJ7"/>
    </sheetView>
  </sheetViews>
  <sheetFormatPr defaultColWidth="6.875" defaultRowHeight="12.75" customHeight="1"/>
  <cols>
    <col min="1" max="1" width="11.125" style="56" customWidth="1"/>
    <col min="2" max="2" width="7.5" style="56" customWidth="1"/>
    <col min="3" max="3" width="6.5" style="56" customWidth="1"/>
    <col min="4" max="4" width="6.75" style="56" customWidth="1"/>
    <col min="5" max="5" width="6" style="56" customWidth="1"/>
    <col min="6" max="6" width="5.875" style="56" customWidth="1"/>
    <col min="7" max="7" width="6.75" style="56" customWidth="1"/>
    <col min="8" max="8" width="7.625" style="56" customWidth="1"/>
    <col min="9" max="9" width="6.625" style="56" customWidth="1"/>
    <col min="10" max="11" width="4.375" style="56" customWidth="1"/>
    <col min="12" max="12" width="4.625" style="56" customWidth="1"/>
    <col min="13" max="13" width="6.5" style="56" customWidth="1"/>
    <col min="14" max="14" width="4.75" style="56" customWidth="1"/>
    <col min="15" max="15" width="6.25" style="56" customWidth="1"/>
    <col min="16" max="16" width="5.375" style="56" customWidth="1"/>
    <col min="17" max="17" width="6.125" style="56" customWidth="1"/>
    <col min="18" max="18" width="7" style="56" customWidth="1"/>
    <col min="19" max="19" width="6.75" style="56" customWidth="1"/>
    <col min="20" max="20" width="5.5" style="56" customWidth="1"/>
    <col min="21" max="21" width="5.875" style="56" customWidth="1"/>
    <col min="22" max="22" width="4.375" style="56" customWidth="1"/>
    <col min="23" max="23" width="4.75" style="56" customWidth="1"/>
    <col min="24" max="24" width="5.5" style="56" customWidth="1"/>
    <col min="25" max="25" width="4.375" style="56" customWidth="1"/>
    <col min="26" max="26" width="5.625" style="56" customWidth="1"/>
    <col min="27" max="28" width="5.5" style="56" customWidth="1"/>
    <col min="29" max="30" width="4.375" style="56" customWidth="1"/>
    <col min="31" max="31" width="4.625" style="56" customWidth="1"/>
    <col min="32" max="32" width="3.625" style="56" customWidth="1"/>
    <col min="33" max="33" width="4.375" style="56" customWidth="1"/>
    <col min="34" max="34" width="6.5" style="56" customWidth="1"/>
    <col min="35" max="35" width="6.75" style="56" customWidth="1"/>
    <col min="36" max="36" width="6.625" style="56" customWidth="1"/>
    <col min="37" max="37" width="4.875" style="56" customWidth="1"/>
    <col min="38" max="38" width="5.625" style="56" customWidth="1"/>
    <col min="39" max="39" width="6" style="56" customWidth="1"/>
    <col min="40" max="40" width="6.25" style="56" customWidth="1"/>
    <col min="41" max="41" width="5.625" style="56" customWidth="1"/>
    <col min="42" max="42" width="6" style="56" customWidth="1"/>
    <col min="43" max="43" width="4.5" style="56" customWidth="1"/>
    <col min="44" max="44" width="4.875" style="56" customWidth="1"/>
    <col min="45" max="45" width="6.625" style="56" customWidth="1"/>
    <col min="46" max="46" width="5.75" style="56" customWidth="1"/>
    <col min="47" max="47" width="4.875" style="56" customWidth="1"/>
    <col min="48" max="48" width="4.5" style="56" customWidth="1"/>
    <col min="49" max="49" width="4.875" style="56" customWidth="1"/>
    <col min="50" max="50" width="5.75" style="56" customWidth="1"/>
    <col min="51" max="51" width="6.5" style="56" customWidth="1"/>
    <col min="52" max="52" width="6.625" style="56" customWidth="1"/>
    <col min="53" max="53" width="4.5" style="56" customWidth="1"/>
    <col min="54" max="55" width="6.5" style="56" customWidth="1"/>
    <col min="56" max="58" width="4.25" style="56" customWidth="1"/>
    <col min="59" max="59" width="7.75" style="56" customWidth="1"/>
    <col min="60" max="60" width="4" style="56" customWidth="1"/>
    <col min="61" max="61" width="4.375" style="56" customWidth="1"/>
    <col min="62" max="62" width="6.5" style="56" customWidth="1"/>
    <col min="63" max="63" width="7.875" style="56" customWidth="1"/>
    <col min="64" max="234" width="6.875" style="56" customWidth="1"/>
  </cols>
  <sheetData>
    <row r="1" spans="1:234" s="226" customFormat="1" ht="30" customHeight="1">
      <c r="A1" s="349" t="s">
        <v>1199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c r="FX1" s="230"/>
      <c r="FY1" s="230"/>
      <c r="FZ1" s="230"/>
      <c r="GA1" s="230"/>
      <c r="GB1" s="230"/>
      <c r="GC1" s="230"/>
      <c r="GD1" s="230"/>
      <c r="GE1" s="230"/>
      <c r="GF1" s="230"/>
      <c r="GG1" s="230"/>
      <c r="GH1" s="230"/>
      <c r="GI1" s="230"/>
      <c r="GJ1" s="230"/>
      <c r="GK1" s="230"/>
      <c r="GL1" s="230"/>
      <c r="GM1" s="230"/>
      <c r="GN1" s="230"/>
      <c r="GO1" s="230"/>
      <c r="GP1" s="230"/>
      <c r="GQ1" s="230"/>
      <c r="GR1" s="230"/>
      <c r="GS1" s="230"/>
      <c r="GT1" s="230"/>
      <c r="GU1" s="230"/>
      <c r="GV1" s="230"/>
      <c r="GW1" s="230"/>
      <c r="GX1" s="230"/>
      <c r="GY1" s="230"/>
      <c r="GZ1" s="230"/>
      <c r="HA1" s="230"/>
      <c r="HB1" s="230"/>
      <c r="HC1" s="230"/>
      <c r="HD1" s="230"/>
      <c r="HE1" s="230"/>
      <c r="HF1" s="230"/>
      <c r="HG1" s="230"/>
      <c r="HH1" s="230"/>
      <c r="HI1" s="230"/>
      <c r="HJ1" s="230"/>
      <c r="HK1" s="230"/>
      <c r="HL1" s="230"/>
      <c r="HM1" s="230"/>
      <c r="HN1" s="230"/>
      <c r="HO1" s="230"/>
      <c r="HP1" s="230"/>
      <c r="HQ1" s="230"/>
      <c r="HR1" s="230"/>
      <c r="HS1" s="230"/>
      <c r="HT1" s="230"/>
      <c r="HU1" s="230"/>
      <c r="HV1" s="230"/>
      <c r="HW1" s="230"/>
      <c r="HX1" s="230"/>
      <c r="HY1" s="230"/>
      <c r="HZ1" s="230"/>
    </row>
    <row r="2" spans="1:234" s="55" customFormat="1" ht="20.100000000000001" customHeight="1">
      <c r="A2" s="161" t="s">
        <v>1200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25" t="s">
        <v>86</v>
      </c>
    </row>
    <row r="3" spans="1:234" ht="35.1" customHeight="1">
      <c r="A3" s="362" t="s">
        <v>1201</v>
      </c>
      <c r="B3" s="364" t="s">
        <v>215</v>
      </c>
      <c r="C3" s="352" t="s">
        <v>1202</v>
      </c>
      <c r="D3" s="353"/>
      <c r="E3" s="353"/>
      <c r="F3" s="353"/>
      <c r="G3" s="353"/>
      <c r="H3" s="354" t="s">
        <v>1203</v>
      </c>
      <c r="I3" s="354"/>
      <c r="J3" s="354"/>
      <c r="K3" s="354"/>
      <c r="L3" s="354"/>
      <c r="M3" s="354"/>
      <c r="N3" s="354"/>
      <c r="O3" s="354"/>
      <c r="P3" s="354"/>
      <c r="Q3" s="354"/>
      <c r="R3" s="354"/>
      <c r="S3" s="355" t="s">
        <v>1204</v>
      </c>
      <c r="T3" s="356"/>
      <c r="U3" s="356"/>
      <c r="V3" s="356"/>
      <c r="W3" s="356"/>
      <c r="X3" s="356"/>
      <c r="Y3" s="356"/>
      <c r="Z3" s="357"/>
      <c r="AA3" s="358" t="s">
        <v>1205</v>
      </c>
      <c r="AB3" s="358"/>
      <c r="AC3" s="358"/>
      <c r="AD3" s="358"/>
      <c r="AE3" s="358"/>
      <c r="AF3" s="358"/>
      <c r="AG3" s="358"/>
      <c r="AH3" s="359" t="s">
        <v>1206</v>
      </c>
      <c r="AI3" s="359"/>
      <c r="AJ3" s="359"/>
      <c r="AK3" s="359"/>
      <c r="AL3" s="358" t="s">
        <v>1207</v>
      </c>
      <c r="AM3" s="358"/>
      <c r="AN3" s="358"/>
      <c r="AO3" s="358" t="s">
        <v>1208</v>
      </c>
      <c r="AP3" s="358"/>
      <c r="AQ3" s="358"/>
      <c r="AR3" s="358"/>
      <c r="AS3" s="358" t="s">
        <v>1209</v>
      </c>
      <c r="AT3" s="358"/>
      <c r="AU3" s="358"/>
      <c r="AV3" s="358"/>
      <c r="AW3" s="358"/>
      <c r="AX3" s="358"/>
      <c r="AY3" s="360" t="s">
        <v>1210</v>
      </c>
      <c r="AZ3" s="360"/>
      <c r="BA3" s="360"/>
      <c r="BB3" s="358" t="s">
        <v>1211</v>
      </c>
      <c r="BC3" s="358"/>
      <c r="BD3" s="358"/>
      <c r="BE3" s="358"/>
      <c r="BF3" s="358"/>
      <c r="BG3" s="358" t="s">
        <v>1212</v>
      </c>
      <c r="BH3" s="358"/>
      <c r="BI3" s="358"/>
      <c r="BJ3" s="358"/>
      <c r="BK3" s="361"/>
    </row>
    <row r="4" spans="1:234" ht="77.25" customHeight="1">
      <c r="A4" s="363"/>
      <c r="B4" s="353"/>
      <c r="C4" s="220" t="s">
        <v>1213</v>
      </c>
      <c r="D4" s="220" t="s">
        <v>1214</v>
      </c>
      <c r="E4" s="220" t="s">
        <v>1215</v>
      </c>
      <c r="F4" s="220" t="s">
        <v>1216</v>
      </c>
      <c r="G4" s="220" t="s">
        <v>1217</v>
      </c>
      <c r="H4" s="220" t="s">
        <v>1213</v>
      </c>
      <c r="I4" s="220" t="s">
        <v>1792</v>
      </c>
      <c r="J4" s="220" t="s">
        <v>1219</v>
      </c>
      <c r="K4" s="220" t="s">
        <v>1220</v>
      </c>
      <c r="L4" s="220" t="s">
        <v>1221</v>
      </c>
      <c r="M4" s="220" t="s">
        <v>1222</v>
      </c>
      <c r="N4" s="220" t="s">
        <v>1223</v>
      </c>
      <c r="O4" s="220" t="s">
        <v>1793</v>
      </c>
      <c r="P4" s="220" t="s">
        <v>1225</v>
      </c>
      <c r="Q4" s="220" t="s">
        <v>1226</v>
      </c>
      <c r="R4" s="220" t="s">
        <v>1227</v>
      </c>
      <c r="S4" s="229" t="s">
        <v>1213</v>
      </c>
      <c r="T4" s="229" t="s">
        <v>1228</v>
      </c>
      <c r="U4" s="229" t="s">
        <v>1229</v>
      </c>
      <c r="V4" s="229" t="s">
        <v>1230</v>
      </c>
      <c r="W4" s="229" t="s">
        <v>1231</v>
      </c>
      <c r="X4" s="229" t="s">
        <v>1232</v>
      </c>
      <c r="Y4" s="229" t="s">
        <v>1233</v>
      </c>
      <c r="Z4" s="229" t="s">
        <v>1234</v>
      </c>
      <c r="AA4" s="229" t="s">
        <v>1213</v>
      </c>
      <c r="AB4" s="229" t="s">
        <v>1228</v>
      </c>
      <c r="AC4" s="229" t="s">
        <v>1229</v>
      </c>
      <c r="AD4" s="229" t="s">
        <v>1230</v>
      </c>
      <c r="AE4" s="229" t="s">
        <v>1232</v>
      </c>
      <c r="AF4" s="229" t="s">
        <v>1233</v>
      </c>
      <c r="AG4" s="229" t="s">
        <v>1234</v>
      </c>
      <c r="AH4" s="220" t="s">
        <v>1213</v>
      </c>
      <c r="AI4" s="220" t="s">
        <v>1235</v>
      </c>
      <c r="AJ4" s="220" t="s">
        <v>1236</v>
      </c>
      <c r="AK4" s="220" t="s">
        <v>1237</v>
      </c>
      <c r="AL4" s="229" t="s">
        <v>1213</v>
      </c>
      <c r="AM4" s="229" t="s">
        <v>1238</v>
      </c>
      <c r="AN4" s="229" t="s">
        <v>1239</v>
      </c>
      <c r="AO4" s="229" t="s">
        <v>1213</v>
      </c>
      <c r="AP4" s="229" t="s">
        <v>1240</v>
      </c>
      <c r="AQ4" s="229" t="s">
        <v>1241</v>
      </c>
      <c r="AR4" s="229" t="s">
        <v>1242</v>
      </c>
      <c r="AS4" s="229" t="s">
        <v>1213</v>
      </c>
      <c r="AT4" s="229" t="s">
        <v>1243</v>
      </c>
      <c r="AU4" s="229" t="s">
        <v>1244</v>
      </c>
      <c r="AV4" s="229" t="s">
        <v>1245</v>
      </c>
      <c r="AW4" s="229" t="s">
        <v>1246</v>
      </c>
      <c r="AX4" s="229" t="s">
        <v>1247</v>
      </c>
      <c r="AY4" s="229" t="s">
        <v>1213</v>
      </c>
      <c r="AZ4" s="229" t="s">
        <v>1248</v>
      </c>
      <c r="BA4" s="229" t="s">
        <v>1249</v>
      </c>
      <c r="BB4" s="229" t="s">
        <v>1213</v>
      </c>
      <c r="BC4" s="229" t="s">
        <v>1250</v>
      </c>
      <c r="BD4" s="229" t="s">
        <v>1251</v>
      </c>
      <c r="BE4" s="229" t="s">
        <v>1252</v>
      </c>
      <c r="BF4" s="229" t="s">
        <v>1253</v>
      </c>
      <c r="BG4" s="229" t="s">
        <v>1213</v>
      </c>
      <c r="BH4" s="229" t="s">
        <v>1254</v>
      </c>
      <c r="BI4" s="229" t="s">
        <v>1255</v>
      </c>
      <c r="BJ4" s="229" t="s">
        <v>1256</v>
      </c>
      <c r="BK4" s="229" t="s">
        <v>1257</v>
      </c>
    </row>
    <row r="5" spans="1:234" ht="39.75" customHeight="1">
      <c r="A5" s="227" t="s">
        <v>113</v>
      </c>
      <c r="B5" s="222">
        <f>SUM(B6:B29)</f>
        <v>415782</v>
      </c>
      <c r="C5" s="222">
        <f>SUM(D5:G5)</f>
        <v>68106</v>
      </c>
      <c r="D5" s="222">
        <f t="shared" ref="D5:G5" si="0">SUM(D6:D29)</f>
        <v>35868</v>
      </c>
      <c r="E5" s="222">
        <f t="shared" si="0"/>
        <v>7144</v>
      </c>
      <c r="F5" s="222">
        <f t="shared" si="0"/>
        <v>3001</v>
      </c>
      <c r="G5" s="222">
        <f t="shared" si="0"/>
        <v>22093</v>
      </c>
      <c r="H5" s="222">
        <f>SUM(I5:R5)</f>
        <v>103027</v>
      </c>
      <c r="I5" s="222">
        <f>SUM(I6:I29)</f>
        <v>17202</v>
      </c>
      <c r="J5" s="222">
        <f t="shared" ref="J5:R5" si="1">SUM(J6:J29)</f>
        <v>565</v>
      </c>
      <c r="K5" s="222">
        <f t="shared" si="1"/>
        <v>857</v>
      </c>
      <c r="L5" s="222">
        <f t="shared" si="1"/>
        <v>294</v>
      </c>
      <c r="M5" s="222">
        <f t="shared" si="1"/>
        <v>21598</v>
      </c>
      <c r="N5" s="222">
        <f t="shared" si="1"/>
        <v>149</v>
      </c>
      <c r="O5" s="222">
        <f t="shared" si="1"/>
        <v>20</v>
      </c>
      <c r="P5" s="222">
        <f t="shared" si="1"/>
        <v>537</v>
      </c>
      <c r="Q5" s="222">
        <f t="shared" si="1"/>
        <v>3411</v>
      </c>
      <c r="R5" s="222">
        <f t="shared" si="1"/>
        <v>58394</v>
      </c>
      <c r="S5" s="222">
        <f>SUM(T5:Z5)</f>
        <v>21175</v>
      </c>
      <c r="T5" s="222">
        <f>SUM(T6:T29)</f>
        <v>2395</v>
      </c>
      <c r="U5" s="222">
        <f t="shared" ref="U5:Z5" si="2">SUM(U6:U29)</f>
        <v>5368</v>
      </c>
      <c r="V5" s="222">
        <f t="shared" si="2"/>
        <v>64</v>
      </c>
      <c r="W5" s="222">
        <f t="shared" si="2"/>
        <v>0</v>
      </c>
      <c r="X5" s="222">
        <f t="shared" si="2"/>
        <v>4901</v>
      </c>
      <c r="Y5" s="222">
        <f t="shared" si="2"/>
        <v>0</v>
      </c>
      <c r="Z5" s="222">
        <f t="shared" si="2"/>
        <v>8447</v>
      </c>
      <c r="AA5" s="222">
        <f>SUM(AB5:AG5)</f>
        <v>4066</v>
      </c>
      <c r="AB5" s="222">
        <f t="shared" ref="AB5:AG5" si="3">SUM(AB6:AB29)</f>
        <v>3250</v>
      </c>
      <c r="AC5" s="222">
        <f t="shared" si="3"/>
        <v>200</v>
      </c>
      <c r="AD5" s="222">
        <f t="shared" si="3"/>
        <v>0</v>
      </c>
      <c r="AE5" s="222">
        <f t="shared" si="3"/>
        <v>355</v>
      </c>
      <c r="AF5" s="222">
        <f t="shared" si="3"/>
        <v>0</v>
      </c>
      <c r="AG5" s="222">
        <f t="shared" si="3"/>
        <v>261</v>
      </c>
      <c r="AH5" s="222">
        <f>SUM(AI5:AK5)</f>
        <v>59152</v>
      </c>
      <c r="AI5" s="222">
        <f t="shared" ref="AI5:AK5" si="4">SUM(AI6:AI29)</f>
        <v>40793</v>
      </c>
      <c r="AJ5" s="222">
        <f t="shared" si="4"/>
        <v>18359</v>
      </c>
      <c r="AK5" s="222">
        <f t="shared" si="4"/>
        <v>0</v>
      </c>
      <c r="AL5" s="222">
        <f>SUM(AM5:AN5)</f>
        <v>3659</v>
      </c>
      <c r="AM5" s="222">
        <f t="shared" ref="AM5:AN5" si="5">SUM(AM6:AM29)</f>
        <v>2760</v>
      </c>
      <c r="AN5" s="222">
        <f t="shared" si="5"/>
        <v>899</v>
      </c>
      <c r="AO5" s="222">
        <f>SUM(AP5:AR5)</f>
        <v>5426</v>
      </c>
      <c r="AP5" s="222">
        <f t="shared" ref="AP5:AR5" si="6">SUM(AP6:AP29)</f>
        <v>4517</v>
      </c>
      <c r="AQ5" s="222">
        <f t="shared" si="6"/>
        <v>0</v>
      </c>
      <c r="AR5" s="222">
        <f t="shared" si="6"/>
        <v>909</v>
      </c>
      <c r="AS5" s="222">
        <f>SUM(AT5:AX5)</f>
        <v>8446</v>
      </c>
      <c r="AT5" s="222">
        <f t="shared" ref="AT5:AX5" si="7">SUM(AT6:AT29)</f>
        <v>3713</v>
      </c>
      <c r="AU5" s="222">
        <f t="shared" si="7"/>
        <v>192</v>
      </c>
      <c r="AV5" s="222">
        <f t="shared" si="7"/>
        <v>0</v>
      </c>
      <c r="AW5" s="222">
        <f t="shared" si="7"/>
        <v>237</v>
      </c>
      <c r="AX5" s="222">
        <f t="shared" si="7"/>
        <v>4304</v>
      </c>
      <c r="AY5" s="222">
        <f>SUM(AZ5:BA5)</f>
        <v>11743</v>
      </c>
      <c r="AZ5" s="222">
        <f t="shared" ref="AZ5:BA5" si="8">SUM(AZ6:AZ29)</f>
        <v>11743</v>
      </c>
      <c r="BA5" s="222">
        <f t="shared" si="8"/>
        <v>0</v>
      </c>
      <c r="BB5" s="222">
        <f>SUM(BC5:BF5)</f>
        <v>21446</v>
      </c>
      <c r="BC5" s="222">
        <f t="shared" ref="BC5:BF5" si="9">SUM(BC6:BC29)</f>
        <v>21446</v>
      </c>
      <c r="BD5" s="222">
        <f t="shared" si="9"/>
        <v>0</v>
      </c>
      <c r="BE5" s="222">
        <f t="shared" si="9"/>
        <v>0</v>
      </c>
      <c r="BF5" s="222">
        <f t="shared" si="9"/>
        <v>0</v>
      </c>
      <c r="BG5" s="222">
        <f>SUM(BH5:BK5)</f>
        <v>109536</v>
      </c>
      <c r="BH5" s="222">
        <f t="shared" ref="BH5:BK5" si="10">SUM(BH6:BH29)</f>
        <v>0</v>
      </c>
      <c r="BI5" s="222">
        <f t="shared" si="10"/>
        <v>0</v>
      </c>
      <c r="BJ5" s="222">
        <f t="shared" si="10"/>
        <v>0</v>
      </c>
      <c r="BK5" s="222">
        <f t="shared" si="10"/>
        <v>109536</v>
      </c>
    </row>
    <row r="6" spans="1:234" ht="39.75" customHeight="1">
      <c r="A6" s="228" t="s">
        <v>190</v>
      </c>
      <c r="B6" s="222">
        <f>C6+H6+S6+AA6+AH6+AL6+AO6+AS6+BB6+BG6+AY6</f>
        <v>54509</v>
      </c>
      <c r="C6" s="222">
        <f t="shared" ref="C6:C29" si="11">SUM(D6:G6)</f>
        <v>15418</v>
      </c>
      <c r="D6" s="222">
        <v>13418</v>
      </c>
      <c r="E6" s="222">
        <v>86</v>
      </c>
      <c r="F6" s="222">
        <v>0</v>
      </c>
      <c r="G6" s="222">
        <v>1914</v>
      </c>
      <c r="H6" s="222">
        <f t="shared" ref="H6:H29" si="12">SUM(I6:R6)</f>
        <v>29121</v>
      </c>
      <c r="I6" s="222">
        <v>8137</v>
      </c>
      <c r="J6" s="222">
        <v>506</v>
      </c>
      <c r="K6" s="222">
        <v>725</v>
      </c>
      <c r="L6" s="222">
        <v>4</v>
      </c>
      <c r="M6" s="222">
        <v>4819</v>
      </c>
      <c r="N6" s="222">
        <v>99</v>
      </c>
      <c r="O6" s="222">
        <v>15</v>
      </c>
      <c r="P6" s="222">
        <v>141</v>
      </c>
      <c r="Q6" s="222">
        <v>2065</v>
      </c>
      <c r="R6" s="222">
        <v>12610</v>
      </c>
      <c r="S6" s="222">
        <f t="shared" ref="S6:S29" si="13">SUM(T6:Z6)</f>
        <v>2013</v>
      </c>
      <c r="T6" s="222">
        <v>0</v>
      </c>
      <c r="U6" s="222">
        <v>40</v>
      </c>
      <c r="V6" s="222">
        <v>0</v>
      </c>
      <c r="W6" s="222">
        <v>0</v>
      </c>
      <c r="X6" s="222">
        <v>1887</v>
      </c>
      <c r="Y6" s="222">
        <v>0</v>
      </c>
      <c r="Z6" s="222">
        <v>86</v>
      </c>
      <c r="AA6" s="222">
        <f t="shared" ref="AA6:AA29" si="14">SUM(AB6:AG6)</f>
        <v>144</v>
      </c>
      <c r="AB6" s="222">
        <v>0</v>
      </c>
      <c r="AC6" s="222">
        <v>0</v>
      </c>
      <c r="AD6" s="222">
        <v>0</v>
      </c>
      <c r="AE6" s="222">
        <v>84</v>
      </c>
      <c r="AF6" s="222">
        <v>0</v>
      </c>
      <c r="AG6" s="222">
        <v>60</v>
      </c>
      <c r="AH6" s="222">
        <f t="shared" ref="AH6:AH29" si="15">SUM(AI6:AK6)</f>
        <v>6670</v>
      </c>
      <c r="AI6" s="222">
        <v>3118</v>
      </c>
      <c r="AJ6" s="222">
        <v>3552</v>
      </c>
      <c r="AK6" s="222">
        <v>0</v>
      </c>
      <c r="AL6" s="222">
        <f t="shared" ref="AL6:AL29" si="16">SUM(AM6:AN6)</f>
        <v>278</v>
      </c>
      <c r="AM6" s="222">
        <v>278</v>
      </c>
      <c r="AN6" s="222">
        <v>0</v>
      </c>
      <c r="AO6" s="222">
        <v>0</v>
      </c>
      <c r="AP6" s="222">
        <v>0</v>
      </c>
      <c r="AQ6" s="222">
        <v>0</v>
      </c>
      <c r="AR6" s="222">
        <v>0</v>
      </c>
      <c r="AS6" s="222">
        <f t="shared" ref="AS6:AS29" si="17">SUM(AT6:AX6)</f>
        <v>454</v>
      </c>
      <c r="AT6" s="222">
        <v>54</v>
      </c>
      <c r="AU6" s="222">
        <v>0</v>
      </c>
      <c r="AV6" s="222">
        <v>0</v>
      </c>
      <c r="AW6" s="222">
        <v>8</v>
      </c>
      <c r="AX6" s="222">
        <v>392</v>
      </c>
      <c r="AY6" s="222">
        <f t="shared" ref="AY6:AY29" si="18">SUM(AZ6:BA6)</f>
        <v>0</v>
      </c>
      <c r="AZ6" s="222">
        <v>0</v>
      </c>
      <c r="BA6" s="222">
        <v>0</v>
      </c>
      <c r="BB6" s="222">
        <f t="shared" ref="BB6:BB29" si="19">SUM(BC6:BF6)</f>
        <v>0</v>
      </c>
      <c r="BC6" s="222">
        <v>0</v>
      </c>
      <c r="BD6" s="222">
        <v>0</v>
      </c>
      <c r="BE6" s="222">
        <v>0</v>
      </c>
      <c r="BF6" s="222">
        <v>0</v>
      </c>
      <c r="BG6" s="222">
        <f t="shared" ref="BG6:BG29" si="20">SUM(BH6:BK6)</f>
        <v>411</v>
      </c>
      <c r="BH6" s="222">
        <v>0</v>
      </c>
      <c r="BI6" s="222">
        <v>0</v>
      </c>
      <c r="BJ6" s="222">
        <v>0</v>
      </c>
      <c r="BK6" s="222">
        <v>411</v>
      </c>
    </row>
    <row r="7" spans="1:234" ht="39.75" customHeight="1">
      <c r="A7" s="228" t="s">
        <v>192</v>
      </c>
      <c r="B7" s="222">
        <f t="shared" ref="B7:B29" si="21">C7+H7+S7+AA7+AH7+AL7+AO7+AS7+BB7+BG7+AY7</f>
        <v>0</v>
      </c>
      <c r="C7" s="222">
        <f t="shared" si="11"/>
        <v>0</v>
      </c>
      <c r="D7" s="222">
        <v>0</v>
      </c>
      <c r="E7" s="222">
        <v>0</v>
      </c>
      <c r="F7" s="222">
        <v>0</v>
      </c>
      <c r="G7" s="222">
        <v>0</v>
      </c>
      <c r="H7" s="222">
        <f t="shared" si="12"/>
        <v>0</v>
      </c>
      <c r="I7" s="222"/>
      <c r="J7" s="222">
        <v>0</v>
      </c>
      <c r="K7" s="222">
        <v>0</v>
      </c>
      <c r="L7" s="222">
        <v>0</v>
      </c>
      <c r="M7" s="222"/>
      <c r="N7" s="222">
        <v>0</v>
      </c>
      <c r="O7" s="222">
        <v>0</v>
      </c>
      <c r="P7" s="222">
        <v>0</v>
      </c>
      <c r="Q7" s="222"/>
      <c r="R7" s="222"/>
      <c r="S7" s="222">
        <f t="shared" si="13"/>
        <v>0</v>
      </c>
      <c r="T7" s="222">
        <v>0</v>
      </c>
      <c r="U7" s="222"/>
      <c r="V7" s="222">
        <v>0</v>
      </c>
      <c r="W7" s="222">
        <v>0</v>
      </c>
      <c r="X7" s="222">
        <v>0</v>
      </c>
      <c r="Y7" s="222">
        <v>0</v>
      </c>
      <c r="Z7" s="222">
        <v>0</v>
      </c>
      <c r="AA7" s="222">
        <f t="shared" si="14"/>
        <v>0</v>
      </c>
      <c r="AB7" s="222">
        <v>0</v>
      </c>
      <c r="AC7" s="222">
        <v>0</v>
      </c>
      <c r="AD7" s="222">
        <v>0</v>
      </c>
      <c r="AE7" s="222"/>
      <c r="AF7" s="222">
        <v>0</v>
      </c>
      <c r="AG7" s="222">
        <v>0</v>
      </c>
      <c r="AH7" s="222">
        <f t="shared" si="15"/>
        <v>0</v>
      </c>
      <c r="AI7" s="222">
        <v>0</v>
      </c>
      <c r="AJ7" s="222">
        <v>0</v>
      </c>
      <c r="AK7" s="222">
        <v>0</v>
      </c>
      <c r="AL7" s="222">
        <f t="shared" si="16"/>
        <v>0</v>
      </c>
      <c r="AM7" s="222">
        <v>0</v>
      </c>
      <c r="AN7" s="222">
        <v>0</v>
      </c>
      <c r="AO7" s="222">
        <v>0</v>
      </c>
      <c r="AP7" s="222">
        <v>0</v>
      </c>
      <c r="AQ7" s="222">
        <v>0</v>
      </c>
      <c r="AR7" s="222">
        <v>0</v>
      </c>
      <c r="AS7" s="222">
        <f t="shared" si="17"/>
        <v>0</v>
      </c>
      <c r="AT7" s="222">
        <v>0</v>
      </c>
      <c r="AU7" s="222">
        <v>0</v>
      </c>
      <c r="AV7" s="222">
        <v>0</v>
      </c>
      <c r="AW7" s="222">
        <v>0</v>
      </c>
      <c r="AX7" s="222">
        <v>0</v>
      </c>
      <c r="AY7" s="222">
        <f t="shared" si="18"/>
        <v>0</v>
      </c>
      <c r="AZ7" s="222">
        <v>0</v>
      </c>
      <c r="BA7" s="222">
        <v>0</v>
      </c>
      <c r="BB7" s="222">
        <f t="shared" si="19"/>
        <v>0</v>
      </c>
      <c r="BC7" s="222">
        <v>0</v>
      </c>
      <c r="BD7" s="222">
        <v>0</v>
      </c>
      <c r="BE7" s="222">
        <v>0</v>
      </c>
      <c r="BF7" s="222">
        <v>0</v>
      </c>
      <c r="BG7" s="222">
        <f t="shared" si="20"/>
        <v>0</v>
      </c>
      <c r="BH7" s="222">
        <v>0</v>
      </c>
      <c r="BI7" s="222">
        <v>0</v>
      </c>
      <c r="BJ7" s="222">
        <v>0</v>
      </c>
      <c r="BK7" s="222"/>
    </row>
    <row r="8" spans="1:234" ht="39.75" customHeight="1">
      <c r="A8" s="228" t="s">
        <v>1258</v>
      </c>
      <c r="B8" s="222">
        <f t="shared" si="21"/>
        <v>37937</v>
      </c>
      <c r="C8" s="222">
        <f t="shared" si="11"/>
        <v>18909</v>
      </c>
      <c r="D8" s="222">
        <v>11795</v>
      </c>
      <c r="E8" s="222">
        <v>83</v>
      </c>
      <c r="F8" s="222">
        <v>0</v>
      </c>
      <c r="G8" s="222">
        <v>7031</v>
      </c>
      <c r="H8" s="222">
        <f t="shared" si="12"/>
        <v>9691</v>
      </c>
      <c r="I8" s="222">
        <v>4975</v>
      </c>
      <c r="J8" s="222">
        <v>9</v>
      </c>
      <c r="K8" s="222">
        <v>55</v>
      </c>
      <c r="L8" s="222">
        <v>230</v>
      </c>
      <c r="M8" s="222">
        <v>1288</v>
      </c>
      <c r="N8" s="222">
        <v>11</v>
      </c>
      <c r="O8" s="222">
        <v>5</v>
      </c>
      <c r="P8" s="222">
        <v>388</v>
      </c>
      <c r="Q8" s="222">
        <v>736</v>
      </c>
      <c r="R8" s="222">
        <v>1994</v>
      </c>
      <c r="S8" s="222">
        <f t="shared" si="13"/>
        <v>2278</v>
      </c>
      <c r="T8" s="222">
        <v>95</v>
      </c>
      <c r="U8" s="222">
        <v>0</v>
      </c>
      <c r="V8" s="222">
        <v>64</v>
      </c>
      <c r="W8" s="222">
        <v>0</v>
      </c>
      <c r="X8" s="222">
        <v>1999</v>
      </c>
      <c r="Y8" s="222">
        <v>0</v>
      </c>
      <c r="Z8" s="222">
        <v>120</v>
      </c>
      <c r="AA8" s="222">
        <f t="shared" si="14"/>
        <v>344</v>
      </c>
      <c r="AB8" s="222">
        <v>150</v>
      </c>
      <c r="AC8" s="222">
        <v>0</v>
      </c>
      <c r="AD8" s="222">
        <v>0</v>
      </c>
      <c r="AE8" s="222">
        <v>187</v>
      </c>
      <c r="AF8" s="222">
        <v>0</v>
      </c>
      <c r="AG8" s="222">
        <v>7</v>
      </c>
      <c r="AH8" s="222">
        <f t="shared" si="15"/>
        <v>64</v>
      </c>
      <c r="AI8" s="222">
        <v>46</v>
      </c>
      <c r="AJ8" s="222">
        <v>18</v>
      </c>
      <c r="AK8" s="222">
        <v>0</v>
      </c>
      <c r="AL8" s="222">
        <f t="shared" si="16"/>
        <v>0</v>
      </c>
      <c r="AM8" s="222"/>
      <c r="AN8" s="222"/>
      <c r="AO8" s="222">
        <v>0</v>
      </c>
      <c r="AP8" s="222">
        <v>0</v>
      </c>
      <c r="AQ8" s="222">
        <v>0</v>
      </c>
      <c r="AR8" s="222">
        <v>0</v>
      </c>
      <c r="AS8" s="222">
        <f t="shared" si="17"/>
        <v>420</v>
      </c>
      <c r="AT8" s="222">
        <v>251</v>
      </c>
      <c r="AU8" s="222">
        <v>0</v>
      </c>
      <c r="AV8" s="222">
        <v>0</v>
      </c>
      <c r="AW8" s="222">
        <v>6</v>
      </c>
      <c r="AX8" s="222">
        <v>163</v>
      </c>
      <c r="AY8" s="222">
        <f t="shared" si="18"/>
        <v>0</v>
      </c>
      <c r="AZ8" s="222">
        <v>0</v>
      </c>
      <c r="BA8" s="222">
        <v>0</v>
      </c>
      <c r="BB8" s="222">
        <f t="shared" si="19"/>
        <v>0</v>
      </c>
      <c r="BC8" s="222"/>
      <c r="BD8" s="222">
        <v>0</v>
      </c>
      <c r="BE8" s="222">
        <v>0</v>
      </c>
      <c r="BF8" s="222">
        <v>0</v>
      </c>
      <c r="BG8" s="222">
        <f t="shared" si="20"/>
        <v>6231</v>
      </c>
      <c r="BH8" s="222">
        <v>0</v>
      </c>
      <c r="BI8" s="222">
        <v>0</v>
      </c>
      <c r="BJ8" s="222">
        <v>0</v>
      </c>
      <c r="BK8" s="222">
        <v>6231</v>
      </c>
    </row>
    <row r="9" spans="1:234" ht="39.75" customHeight="1">
      <c r="A9" s="228" t="s">
        <v>1259</v>
      </c>
      <c r="B9" s="222">
        <f t="shared" si="21"/>
        <v>32574</v>
      </c>
      <c r="C9" s="222">
        <f t="shared" si="11"/>
        <v>1004</v>
      </c>
      <c r="D9" s="222">
        <v>871</v>
      </c>
      <c r="E9" s="222">
        <v>9</v>
      </c>
      <c r="F9" s="222">
        <v>0</v>
      </c>
      <c r="G9" s="222">
        <v>124</v>
      </c>
      <c r="H9" s="222">
        <f t="shared" si="12"/>
        <v>7310</v>
      </c>
      <c r="I9" s="222">
        <v>293</v>
      </c>
      <c r="J9" s="222">
        <v>1</v>
      </c>
      <c r="K9" s="222">
        <v>28</v>
      </c>
      <c r="L9" s="222">
        <v>30</v>
      </c>
      <c r="M9" s="222">
        <v>2303</v>
      </c>
      <c r="N9" s="222">
        <v>2</v>
      </c>
      <c r="O9" s="222">
        <v>0</v>
      </c>
      <c r="P9" s="222">
        <v>0</v>
      </c>
      <c r="Q9" s="222">
        <v>25</v>
      </c>
      <c r="R9" s="222">
        <v>4628</v>
      </c>
      <c r="S9" s="222">
        <f t="shared" si="13"/>
        <v>0</v>
      </c>
      <c r="T9" s="222">
        <v>0</v>
      </c>
      <c r="U9" s="222">
        <v>0</v>
      </c>
      <c r="V9" s="222">
        <v>0</v>
      </c>
      <c r="W9" s="222">
        <v>0</v>
      </c>
      <c r="X9" s="222">
        <v>0</v>
      </c>
      <c r="Y9" s="222">
        <v>0</v>
      </c>
      <c r="Z9" s="222">
        <v>0</v>
      </c>
      <c r="AA9" s="222">
        <f t="shared" si="14"/>
        <v>0</v>
      </c>
      <c r="AB9" s="222">
        <v>0</v>
      </c>
      <c r="AC9" s="222">
        <v>0</v>
      </c>
      <c r="AD9" s="222">
        <v>0</v>
      </c>
      <c r="AE9" s="222">
        <v>0</v>
      </c>
      <c r="AF9" s="222">
        <v>0</v>
      </c>
      <c r="AG9" s="222">
        <v>0</v>
      </c>
      <c r="AH9" s="222">
        <f t="shared" si="15"/>
        <v>16022</v>
      </c>
      <c r="AI9" s="222">
        <v>12483</v>
      </c>
      <c r="AJ9" s="222">
        <v>3539</v>
      </c>
      <c r="AK9" s="222">
        <v>0</v>
      </c>
      <c r="AL9" s="222">
        <f t="shared" si="16"/>
        <v>666</v>
      </c>
      <c r="AM9" s="222">
        <v>665</v>
      </c>
      <c r="AN9" s="222">
        <v>1</v>
      </c>
      <c r="AO9" s="222">
        <v>0</v>
      </c>
      <c r="AP9" s="222">
        <v>0</v>
      </c>
      <c r="AQ9" s="222">
        <v>0</v>
      </c>
      <c r="AR9" s="222">
        <v>0</v>
      </c>
      <c r="AS9" s="222">
        <f t="shared" si="17"/>
        <v>357</v>
      </c>
      <c r="AT9" s="222">
        <v>28</v>
      </c>
      <c r="AU9" s="222">
        <v>192</v>
      </c>
      <c r="AV9" s="222">
        <v>0</v>
      </c>
      <c r="AW9" s="222">
        <v>5</v>
      </c>
      <c r="AX9" s="222">
        <v>132</v>
      </c>
      <c r="AY9" s="222">
        <f t="shared" si="18"/>
        <v>0</v>
      </c>
      <c r="AZ9" s="222">
        <v>0</v>
      </c>
      <c r="BA9" s="222">
        <v>0</v>
      </c>
      <c r="BB9" s="222">
        <f t="shared" si="19"/>
        <v>546</v>
      </c>
      <c r="BC9" s="222">
        <v>546</v>
      </c>
      <c r="BD9" s="222">
        <v>0</v>
      </c>
      <c r="BE9" s="222">
        <v>0</v>
      </c>
      <c r="BF9" s="222">
        <v>0</v>
      </c>
      <c r="BG9" s="222">
        <f t="shared" si="20"/>
        <v>6669</v>
      </c>
      <c r="BH9" s="222">
        <v>0</v>
      </c>
      <c r="BI9" s="222">
        <v>0</v>
      </c>
      <c r="BJ9" s="222">
        <v>0</v>
      </c>
      <c r="BK9" s="222">
        <f>6670-1</f>
        <v>6669</v>
      </c>
    </row>
    <row r="10" spans="1:234" ht="39.75" customHeight="1">
      <c r="A10" s="228" t="s">
        <v>1260</v>
      </c>
      <c r="B10" s="222">
        <f t="shared" si="21"/>
        <v>1198</v>
      </c>
      <c r="C10" s="222">
        <f t="shared" si="11"/>
        <v>265</v>
      </c>
      <c r="D10" s="222">
        <v>246</v>
      </c>
      <c r="E10" s="222">
        <v>2</v>
      </c>
      <c r="F10" s="222">
        <v>0</v>
      </c>
      <c r="G10" s="222">
        <v>17</v>
      </c>
      <c r="H10" s="222">
        <f t="shared" si="12"/>
        <v>243</v>
      </c>
      <c r="I10" s="222">
        <v>32</v>
      </c>
      <c r="J10" s="222">
        <v>1</v>
      </c>
      <c r="K10" s="222">
        <v>0</v>
      </c>
      <c r="L10" s="222">
        <v>0</v>
      </c>
      <c r="M10" s="222">
        <v>114</v>
      </c>
      <c r="N10" s="222">
        <v>0</v>
      </c>
      <c r="O10" s="222">
        <v>0</v>
      </c>
      <c r="P10" s="222">
        <v>0</v>
      </c>
      <c r="Q10" s="222">
        <v>0</v>
      </c>
      <c r="R10" s="222">
        <v>96</v>
      </c>
      <c r="S10" s="222">
        <f t="shared" si="13"/>
        <v>0</v>
      </c>
      <c r="T10" s="222">
        <v>0</v>
      </c>
      <c r="U10" s="222">
        <v>0</v>
      </c>
      <c r="V10" s="222">
        <v>0</v>
      </c>
      <c r="W10" s="222">
        <v>0</v>
      </c>
      <c r="X10" s="222">
        <v>0</v>
      </c>
      <c r="Y10" s="222">
        <v>0</v>
      </c>
      <c r="Z10" s="222">
        <v>0</v>
      </c>
      <c r="AA10" s="222">
        <f t="shared" si="14"/>
        <v>0</v>
      </c>
      <c r="AB10" s="222">
        <v>0</v>
      </c>
      <c r="AC10" s="222">
        <v>0</v>
      </c>
      <c r="AD10" s="222">
        <v>0</v>
      </c>
      <c r="AE10" s="222">
        <v>0</v>
      </c>
      <c r="AF10" s="222">
        <v>0</v>
      </c>
      <c r="AG10" s="222">
        <v>0</v>
      </c>
      <c r="AH10" s="222">
        <f t="shared" si="15"/>
        <v>313</v>
      </c>
      <c r="AI10" s="222">
        <v>252</v>
      </c>
      <c r="AJ10" s="222">
        <v>61</v>
      </c>
      <c r="AK10" s="222">
        <v>0</v>
      </c>
      <c r="AL10" s="222">
        <f t="shared" si="16"/>
        <v>0</v>
      </c>
      <c r="AM10" s="222">
        <v>0</v>
      </c>
      <c r="AN10" s="222">
        <v>0</v>
      </c>
      <c r="AO10" s="222">
        <v>340</v>
      </c>
      <c r="AP10" s="222">
        <v>0</v>
      </c>
      <c r="AQ10" s="222">
        <v>0</v>
      </c>
      <c r="AR10" s="222">
        <v>340</v>
      </c>
      <c r="AS10" s="222">
        <f t="shared" si="17"/>
        <v>10</v>
      </c>
      <c r="AT10" s="222">
        <v>0</v>
      </c>
      <c r="AU10" s="222">
        <v>0</v>
      </c>
      <c r="AV10" s="222">
        <v>0</v>
      </c>
      <c r="AW10" s="222">
        <v>1</v>
      </c>
      <c r="AX10" s="222">
        <v>9</v>
      </c>
      <c r="AY10" s="222">
        <f t="shared" si="18"/>
        <v>0</v>
      </c>
      <c r="AZ10" s="222">
        <v>0</v>
      </c>
      <c r="BA10" s="222">
        <v>0</v>
      </c>
      <c r="BB10" s="222">
        <f t="shared" si="19"/>
        <v>0</v>
      </c>
      <c r="BC10" s="222">
        <v>0</v>
      </c>
      <c r="BD10" s="222">
        <v>0</v>
      </c>
      <c r="BE10" s="222">
        <v>0</v>
      </c>
      <c r="BF10" s="222">
        <v>0</v>
      </c>
      <c r="BG10" s="222">
        <f t="shared" si="20"/>
        <v>27</v>
      </c>
      <c r="BH10" s="222">
        <v>0</v>
      </c>
      <c r="BI10" s="222">
        <v>0</v>
      </c>
      <c r="BJ10" s="222">
        <v>0</v>
      </c>
      <c r="BK10" s="222">
        <f>26+1</f>
        <v>27</v>
      </c>
    </row>
    <row r="11" spans="1:234" ht="39.75" customHeight="1">
      <c r="A11" s="228" t="s">
        <v>1261</v>
      </c>
      <c r="B11" s="222">
        <f t="shared" si="21"/>
        <v>29154</v>
      </c>
      <c r="C11" s="222">
        <f t="shared" si="11"/>
        <v>1006</v>
      </c>
      <c r="D11" s="222">
        <v>839</v>
      </c>
      <c r="E11" s="222">
        <v>9</v>
      </c>
      <c r="F11" s="222">
        <v>0</v>
      </c>
      <c r="G11" s="222">
        <v>158</v>
      </c>
      <c r="H11" s="222">
        <f t="shared" si="12"/>
        <v>7287</v>
      </c>
      <c r="I11" s="222">
        <v>994</v>
      </c>
      <c r="J11" s="222">
        <v>20</v>
      </c>
      <c r="K11" s="222">
        <v>0</v>
      </c>
      <c r="L11" s="222">
        <v>0</v>
      </c>
      <c r="M11" s="222">
        <v>1838</v>
      </c>
      <c r="N11" s="222">
        <v>6</v>
      </c>
      <c r="O11" s="222">
        <v>0</v>
      </c>
      <c r="P11" s="222">
        <v>0</v>
      </c>
      <c r="Q11" s="222">
        <v>18</v>
      </c>
      <c r="R11" s="222">
        <v>4411</v>
      </c>
      <c r="S11" s="222">
        <f t="shared" si="13"/>
        <v>2302</v>
      </c>
      <c r="T11" s="222">
        <v>2300</v>
      </c>
      <c r="U11" s="222">
        <v>0</v>
      </c>
      <c r="V11" s="222">
        <v>0</v>
      </c>
      <c r="W11" s="222">
        <v>0</v>
      </c>
      <c r="X11" s="222">
        <v>2</v>
      </c>
      <c r="Y11" s="222">
        <v>0</v>
      </c>
      <c r="Z11" s="222">
        <v>0</v>
      </c>
      <c r="AA11" s="222">
        <f t="shared" si="14"/>
        <v>3100</v>
      </c>
      <c r="AB11" s="222">
        <v>3100</v>
      </c>
      <c r="AC11" s="222">
        <v>0</v>
      </c>
      <c r="AD11" s="222">
        <v>0</v>
      </c>
      <c r="AE11" s="222">
        <v>0</v>
      </c>
      <c r="AF11" s="222">
        <v>0</v>
      </c>
      <c r="AG11" s="222">
        <v>0</v>
      </c>
      <c r="AH11" s="222">
        <f t="shared" si="15"/>
        <v>7940</v>
      </c>
      <c r="AI11" s="222">
        <v>4958</v>
      </c>
      <c r="AJ11" s="222">
        <v>2982</v>
      </c>
      <c r="AK11" s="222">
        <v>0</v>
      </c>
      <c r="AL11" s="222">
        <f t="shared" si="16"/>
        <v>442</v>
      </c>
      <c r="AM11" s="222">
        <v>442</v>
      </c>
      <c r="AN11" s="222">
        <v>0</v>
      </c>
      <c r="AO11" s="222">
        <v>469</v>
      </c>
      <c r="AP11" s="222">
        <v>0</v>
      </c>
      <c r="AQ11" s="222">
        <v>0</v>
      </c>
      <c r="AR11" s="222">
        <v>469</v>
      </c>
      <c r="AS11" s="222">
        <f t="shared" si="17"/>
        <v>125</v>
      </c>
      <c r="AT11" s="222">
        <v>43</v>
      </c>
      <c r="AU11" s="222">
        <v>0</v>
      </c>
      <c r="AV11" s="222">
        <v>0</v>
      </c>
      <c r="AW11" s="222">
        <v>3</v>
      </c>
      <c r="AX11" s="222">
        <v>79</v>
      </c>
      <c r="AY11" s="222">
        <f t="shared" si="18"/>
        <v>0</v>
      </c>
      <c r="AZ11" s="222">
        <v>0</v>
      </c>
      <c r="BA11" s="222">
        <v>0</v>
      </c>
      <c r="BB11" s="222">
        <f t="shared" si="19"/>
        <v>0</v>
      </c>
      <c r="BC11" s="222">
        <v>0</v>
      </c>
      <c r="BD11" s="222">
        <v>0</v>
      </c>
      <c r="BE11" s="222">
        <v>0</v>
      </c>
      <c r="BF11" s="222">
        <v>0</v>
      </c>
      <c r="BG11" s="222">
        <f t="shared" si="20"/>
        <v>6483</v>
      </c>
      <c r="BH11" s="222">
        <v>0</v>
      </c>
      <c r="BI11" s="222">
        <v>0</v>
      </c>
      <c r="BJ11" s="222">
        <v>0</v>
      </c>
      <c r="BK11" s="222">
        <f>6485-2</f>
        <v>6483</v>
      </c>
    </row>
    <row r="12" spans="1:234" ht="39.75" customHeight="1">
      <c r="A12" s="228" t="s">
        <v>1262</v>
      </c>
      <c r="B12" s="222">
        <f t="shared" si="21"/>
        <v>51229</v>
      </c>
      <c r="C12" s="222">
        <f t="shared" si="11"/>
        <v>6663</v>
      </c>
      <c r="D12" s="222">
        <v>1541</v>
      </c>
      <c r="E12" s="222">
        <v>5046</v>
      </c>
      <c r="F12" s="222">
        <v>20</v>
      </c>
      <c r="G12" s="222">
        <v>56</v>
      </c>
      <c r="H12" s="222">
        <f t="shared" si="12"/>
        <v>3867</v>
      </c>
      <c r="I12" s="222">
        <v>762</v>
      </c>
      <c r="J12" s="222">
        <v>0</v>
      </c>
      <c r="K12" s="222">
        <v>5</v>
      </c>
      <c r="L12" s="222">
        <v>2</v>
      </c>
      <c r="M12" s="222">
        <v>328</v>
      </c>
      <c r="N12" s="222">
        <v>5</v>
      </c>
      <c r="O12" s="222">
        <v>0</v>
      </c>
      <c r="P12" s="222">
        <v>0</v>
      </c>
      <c r="Q12" s="222">
        <v>7</v>
      </c>
      <c r="R12" s="222">
        <v>2758</v>
      </c>
      <c r="S12" s="222">
        <f t="shared" si="13"/>
        <v>0</v>
      </c>
      <c r="T12" s="222">
        <v>0</v>
      </c>
      <c r="U12" s="222">
        <v>0</v>
      </c>
      <c r="V12" s="222">
        <v>0</v>
      </c>
      <c r="W12" s="222">
        <v>0</v>
      </c>
      <c r="X12" s="222">
        <v>0</v>
      </c>
      <c r="Y12" s="222">
        <v>0</v>
      </c>
      <c r="Z12" s="222">
        <v>0</v>
      </c>
      <c r="AA12" s="222">
        <f t="shared" si="14"/>
        <v>0</v>
      </c>
      <c r="AB12" s="222">
        <v>0</v>
      </c>
      <c r="AC12" s="222">
        <v>0</v>
      </c>
      <c r="AD12" s="222">
        <v>0</v>
      </c>
      <c r="AE12" s="222">
        <v>0</v>
      </c>
      <c r="AF12" s="222">
        <v>0</v>
      </c>
      <c r="AG12" s="222">
        <v>0</v>
      </c>
      <c r="AH12" s="222">
        <f t="shared" si="15"/>
        <v>5607</v>
      </c>
      <c r="AI12" s="222">
        <v>4403</v>
      </c>
      <c r="AJ12" s="222">
        <v>1204</v>
      </c>
      <c r="AK12" s="222">
        <v>0</v>
      </c>
      <c r="AL12" s="222">
        <f t="shared" si="16"/>
        <v>778</v>
      </c>
      <c r="AM12" s="222">
        <v>145</v>
      </c>
      <c r="AN12" s="222">
        <v>633</v>
      </c>
      <c r="AO12" s="222">
        <v>282</v>
      </c>
      <c r="AP12" s="222">
        <v>282</v>
      </c>
      <c r="AQ12" s="222">
        <v>0</v>
      </c>
      <c r="AR12" s="222">
        <v>0</v>
      </c>
      <c r="AS12" s="222">
        <f t="shared" si="17"/>
        <v>3652</v>
      </c>
      <c r="AT12" s="222">
        <v>2825</v>
      </c>
      <c r="AU12" s="222">
        <v>0</v>
      </c>
      <c r="AV12" s="222">
        <v>0</v>
      </c>
      <c r="AW12" s="222">
        <v>197</v>
      </c>
      <c r="AX12" s="222">
        <v>630</v>
      </c>
      <c r="AY12" s="222">
        <f t="shared" si="18"/>
        <v>8119</v>
      </c>
      <c r="AZ12" s="222">
        <v>8119</v>
      </c>
      <c r="BA12" s="222">
        <v>0</v>
      </c>
      <c r="BB12" s="222">
        <f t="shared" si="19"/>
        <v>0</v>
      </c>
      <c r="BC12" s="222">
        <v>0</v>
      </c>
      <c r="BD12" s="222">
        <v>0</v>
      </c>
      <c r="BE12" s="222">
        <v>0</v>
      </c>
      <c r="BF12" s="222">
        <v>0</v>
      </c>
      <c r="BG12" s="222">
        <f t="shared" si="20"/>
        <v>22261</v>
      </c>
      <c r="BH12" s="222">
        <v>0</v>
      </c>
      <c r="BI12" s="222">
        <v>0</v>
      </c>
      <c r="BJ12" s="222">
        <v>0</v>
      </c>
      <c r="BK12" s="222">
        <f>1161+21098+2</f>
        <v>22261</v>
      </c>
    </row>
    <row r="13" spans="1:234" ht="39.75" customHeight="1">
      <c r="A13" s="228" t="s">
        <v>1263</v>
      </c>
      <c r="B13" s="222">
        <f t="shared" si="21"/>
        <v>39368</v>
      </c>
      <c r="C13" s="222">
        <f t="shared" si="11"/>
        <v>3396</v>
      </c>
      <c r="D13" s="222">
        <v>1306</v>
      </c>
      <c r="E13" s="222">
        <v>1887</v>
      </c>
      <c r="F13" s="222">
        <v>0</v>
      </c>
      <c r="G13" s="222">
        <v>203</v>
      </c>
      <c r="H13" s="222">
        <f t="shared" si="12"/>
        <v>8088</v>
      </c>
      <c r="I13" s="222">
        <v>158</v>
      </c>
      <c r="J13" s="222">
        <v>3</v>
      </c>
      <c r="K13" s="222">
        <v>4</v>
      </c>
      <c r="L13" s="222">
        <v>0</v>
      </c>
      <c r="M13" s="222">
        <v>172</v>
      </c>
      <c r="N13" s="222">
        <v>5</v>
      </c>
      <c r="O13" s="222">
        <v>0</v>
      </c>
      <c r="P13" s="222">
        <v>0</v>
      </c>
      <c r="Q13" s="222">
        <v>2</v>
      </c>
      <c r="R13" s="222">
        <v>7744</v>
      </c>
      <c r="S13" s="222">
        <f t="shared" si="13"/>
        <v>209</v>
      </c>
      <c r="T13" s="222">
        <v>0</v>
      </c>
      <c r="U13" s="222">
        <v>0</v>
      </c>
      <c r="V13" s="222">
        <v>0</v>
      </c>
      <c r="W13" s="222">
        <v>0</v>
      </c>
      <c r="X13" s="222">
        <v>209</v>
      </c>
      <c r="Y13" s="222">
        <v>0</v>
      </c>
      <c r="Z13" s="222">
        <v>0</v>
      </c>
      <c r="AA13" s="222">
        <f t="shared" si="14"/>
        <v>9</v>
      </c>
      <c r="AB13" s="222">
        <v>0</v>
      </c>
      <c r="AC13" s="222">
        <v>0</v>
      </c>
      <c r="AD13" s="222">
        <v>0</v>
      </c>
      <c r="AE13" s="222">
        <v>9</v>
      </c>
      <c r="AF13" s="222">
        <v>0</v>
      </c>
      <c r="AG13" s="222">
        <v>0</v>
      </c>
      <c r="AH13" s="222">
        <f t="shared" si="15"/>
        <v>3630</v>
      </c>
      <c r="AI13" s="222">
        <v>2403</v>
      </c>
      <c r="AJ13" s="222">
        <v>1227</v>
      </c>
      <c r="AK13" s="222">
        <v>0</v>
      </c>
      <c r="AL13" s="222">
        <f t="shared" si="16"/>
        <v>72</v>
      </c>
      <c r="AM13" s="222">
        <v>12</v>
      </c>
      <c r="AN13" s="222">
        <v>60</v>
      </c>
      <c r="AO13" s="222">
        <v>2600</v>
      </c>
      <c r="AP13" s="222">
        <v>2600</v>
      </c>
      <c r="AQ13" s="222">
        <v>0</v>
      </c>
      <c r="AR13" s="222">
        <v>0</v>
      </c>
      <c r="AS13" s="222">
        <f t="shared" si="17"/>
        <v>2466</v>
      </c>
      <c r="AT13" s="222">
        <v>247</v>
      </c>
      <c r="AU13" s="222">
        <v>0</v>
      </c>
      <c r="AV13" s="222">
        <v>0</v>
      </c>
      <c r="AW13" s="222">
        <v>3</v>
      </c>
      <c r="AX13" s="222">
        <v>2216</v>
      </c>
      <c r="AY13" s="222">
        <f t="shared" si="18"/>
        <v>3624</v>
      </c>
      <c r="AZ13" s="222">
        <v>3624</v>
      </c>
      <c r="BA13" s="222">
        <v>0</v>
      </c>
      <c r="BB13" s="222">
        <f t="shared" si="19"/>
        <v>0</v>
      </c>
      <c r="BC13" s="222">
        <v>0</v>
      </c>
      <c r="BD13" s="222">
        <v>0</v>
      </c>
      <c r="BE13" s="222">
        <v>0</v>
      </c>
      <c r="BF13" s="222">
        <v>0</v>
      </c>
      <c r="BG13" s="222">
        <f t="shared" si="20"/>
        <v>15274</v>
      </c>
      <c r="BH13" s="222">
        <v>0</v>
      </c>
      <c r="BI13" s="222">
        <v>0</v>
      </c>
      <c r="BJ13" s="222">
        <v>0</v>
      </c>
      <c r="BK13" s="222">
        <f>50+15225-1</f>
        <v>15274</v>
      </c>
    </row>
    <row r="14" spans="1:234" ht="39.75" customHeight="1">
      <c r="A14" s="228" t="s">
        <v>1264</v>
      </c>
      <c r="B14" s="222">
        <f t="shared" si="21"/>
        <v>17340</v>
      </c>
      <c r="C14" s="222">
        <f t="shared" si="11"/>
        <v>526</v>
      </c>
      <c r="D14" s="222">
        <v>445</v>
      </c>
      <c r="E14" s="222">
        <v>0</v>
      </c>
      <c r="F14" s="222">
        <v>0</v>
      </c>
      <c r="G14" s="222">
        <v>81</v>
      </c>
      <c r="H14" s="222">
        <f t="shared" si="12"/>
        <v>6108</v>
      </c>
      <c r="I14" s="222">
        <v>93</v>
      </c>
      <c r="J14" s="222">
        <v>4</v>
      </c>
      <c r="K14" s="222">
        <v>9</v>
      </c>
      <c r="L14" s="222">
        <v>8</v>
      </c>
      <c r="M14" s="222">
        <v>5888</v>
      </c>
      <c r="N14" s="222">
        <v>5</v>
      </c>
      <c r="O14" s="222">
        <v>0</v>
      </c>
      <c r="P14" s="222">
        <v>0</v>
      </c>
      <c r="Q14" s="222">
        <v>97</v>
      </c>
      <c r="R14" s="222">
        <v>4</v>
      </c>
      <c r="S14" s="222">
        <f t="shared" si="13"/>
        <v>0</v>
      </c>
      <c r="T14" s="222">
        <v>0</v>
      </c>
      <c r="U14" s="222">
        <v>0</v>
      </c>
      <c r="V14" s="222">
        <v>0</v>
      </c>
      <c r="W14" s="222">
        <v>0</v>
      </c>
      <c r="X14" s="222">
        <v>0</v>
      </c>
      <c r="Y14" s="222">
        <v>0</v>
      </c>
      <c r="Z14" s="222">
        <v>0</v>
      </c>
      <c r="AA14" s="222">
        <f t="shared" si="14"/>
        <v>75</v>
      </c>
      <c r="AB14" s="222">
        <v>0</v>
      </c>
      <c r="AC14" s="222">
        <v>0</v>
      </c>
      <c r="AD14" s="222">
        <v>0</v>
      </c>
      <c r="AE14" s="222">
        <v>75</v>
      </c>
      <c r="AF14" s="222">
        <v>0</v>
      </c>
      <c r="AG14" s="222">
        <v>0</v>
      </c>
      <c r="AH14" s="222">
        <f t="shared" si="15"/>
        <v>1294</v>
      </c>
      <c r="AI14" s="222">
        <v>626</v>
      </c>
      <c r="AJ14" s="222">
        <v>668</v>
      </c>
      <c r="AK14" s="222">
        <v>0</v>
      </c>
      <c r="AL14" s="222">
        <f t="shared" si="16"/>
        <v>175</v>
      </c>
      <c r="AM14" s="222">
        <v>75</v>
      </c>
      <c r="AN14" s="222">
        <v>100</v>
      </c>
      <c r="AO14" s="222">
        <v>0</v>
      </c>
      <c r="AP14" s="222">
        <v>0</v>
      </c>
      <c r="AQ14" s="222">
        <v>0</v>
      </c>
      <c r="AR14" s="222">
        <v>0</v>
      </c>
      <c r="AS14" s="222">
        <f t="shared" si="17"/>
        <v>16</v>
      </c>
      <c r="AT14" s="222">
        <v>5</v>
      </c>
      <c r="AU14" s="222">
        <v>0</v>
      </c>
      <c r="AV14" s="222">
        <v>0</v>
      </c>
      <c r="AW14" s="222">
        <v>0</v>
      </c>
      <c r="AX14" s="222">
        <v>11</v>
      </c>
      <c r="AY14" s="222">
        <f t="shared" si="18"/>
        <v>0</v>
      </c>
      <c r="AZ14" s="222">
        <v>0</v>
      </c>
      <c r="BA14" s="222">
        <v>0</v>
      </c>
      <c r="BB14" s="222">
        <f t="shared" si="19"/>
        <v>0</v>
      </c>
      <c r="BC14" s="222">
        <v>0</v>
      </c>
      <c r="BD14" s="222">
        <v>0</v>
      </c>
      <c r="BE14" s="222">
        <v>0</v>
      </c>
      <c r="BF14" s="222">
        <v>0</v>
      </c>
      <c r="BG14" s="222">
        <f t="shared" si="20"/>
        <v>9146</v>
      </c>
      <c r="BH14" s="222">
        <v>0</v>
      </c>
      <c r="BI14" s="222">
        <v>0</v>
      </c>
      <c r="BJ14" s="222">
        <v>0</v>
      </c>
      <c r="BK14" s="222">
        <v>9146</v>
      </c>
    </row>
    <row r="15" spans="1:234" ht="39.75" customHeight="1">
      <c r="A15" s="228" t="s">
        <v>1265</v>
      </c>
      <c r="B15" s="222">
        <f t="shared" si="21"/>
        <v>22281</v>
      </c>
      <c r="C15" s="222">
        <f t="shared" si="11"/>
        <v>1011</v>
      </c>
      <c r="D15" s="222">
        <v>980</v>
      </c>
      <c r="E15" s="222">
        <v>6</v>
      </c>
      <c r="F15" s="222">
        <v>0</v>
      </c>
      <c r="G15" s="222">
        <v>25</v>
      </c>
      <c r="H15" s="222">
        <f t="shared" si="12"/>
        <v>4440</v>
      </c>
      <c r="I15" s="222">
        <v>203</v>
      </c>
      <c r="J15" s="222">
        <v>6</v>
      </c>
      <c r="K15" s="222">
        <v>6</v>
      </c>
      <c r="L15" s="222">
        <v>0</v>
      </c>
      <c r="M15" s="222">
        <v>360</v>
      </c>
      <c r="N15" s="222">
        <v>1</v>
      </c>
      <c r="O15" s="222">
        <v>0</v>
      </c>
      <c r="P15" s="222">
        <v>0</v>
      </c>
      <c r="Q15" s="222">
        <v>118</v>
      </c>
      <c r="R15" s="222">
        <v>3746</v>
      </c>
      <c r="S15" s="222">
        <f t="shared" si="13"/>
        <v>7820</v>
      </c>
      <c r="T15" s="222">
        <v>0</v>
      </c>
      <c r="U15" s="222">
        <v>929</v>
      </c>
      <c r="V15" s="222">
        <v>0</v>
      </c>
      <c r="W15" s="222">
        <v>0</v>
      </c>
      <c r="X15" s="222">
        <v>154</v>
      </c>
      <c r="Y15" s="222">
        <v>0</v>
      </c>
      <c r="Z15" s="222">
        <v>6737</v>
      </c>
      <c r="AA15" s="222">
        <f t="shared" si="14"/>
        <v>200</v>
      </c>
      <c r="AB15" s="222">
        <v>0</v>
      </c>
      <c r="AC15" s="222">
        <v>200</v>
      </c>
      <c r="AD15" s="222">
        <v>0</v>
      </c>
      <c r="AE15" s="222">
        <v>0</v>
      </c>
      <c r="AF15" s="222">
        <v>0</v>
      </c>
      <c r="AG15" s="222">
        <v>0</v>
      </c>
      <c r="AH15" s="222">
        <f t="shared" si="15"/>
        <v>2233</v>
      </c>
      <c r="AI15" s="222">
        <v>1427</v>
      </c>
      <c r="AJ15" s="222">
        <v>806</v>
      </c>
      <c r="AK15" s="222">
        <v>0</v>
      </c>
      <c r="AL15" s="222">
        <f t="shared" si="16"/>
        <v>908</v>
      </c>
      <c r="AM15" s="222">
        <v>838</v>
      </c>
      <c r="AN15" s="222">
        <v>70</v>
      </c>
      <c r="AO15" s="222">
        <v>0</v>
      </c>
      <c r="AP15" s="222">
        <v>0</v>
      </c>
      <c r="AQ15" s="222">
        <v>0</v>
      </c>
      <c r="AR15" s="222">
        <v>0</v>
      </c>
      <c r="AS15" s="222">
        <f t="shared" si="17"/>
        <v>167</v>
      </c>
      <c r="AT15" s="222">
        <v>79</v>
      </c>
      <c r="AU15" s="222">
        <v>0</v>
      </c>
      <c r="AV15" s="222">
        <v>0</v>
      </c>
      <c r="AW15" s="222">
        <v>1</v>
      </c>
      <c r="AX15" s="222">
        <v>87</v>
      </c>
      <c r="AY15" s="222">
        <f t="shared" si="18"/>
        <v>0</v>
      </c>
      <c r="AZ15" s="222">
        <v>0</v>
      </c>
      <c r="BA15" s="222">
        <v>0</v>
      </c>
      <c r="BB15" s="222">
        <f t="shared" si="19"/>
        <v>0</v>
      </c>
      <c r="BC15" s="222">
        <v>0</v>
      </c>
      <c r="BD15" s="222">
        <v>0</v>
      </c>
      <c r="BE15" s="222">
        <v>0</v>
      </c>
      <c r="BF15" s="222">
        <v>0</v>
      </c>
      <c r="BG15" s="222">
        <f t="shared" si="20"/>
        <v>5502</v>
      </c>
      <c r="BH15" s="222">
        <v>0</v>
      </c>
      <c r="BI15" s="222">
        <v>0</v>
      </c>
      <c r="BJ15" s="222">
        <v>0</v>
      </c>
      <c r="BK15" s="222">
        <f>5500+2</f>
        <v>5502</v>
      </c>
    </row>
    <row r="16" spans="1:234" ht="39.75" customHeight="1">
      <c r="A16" s="228" t="s">
        <v>1266</v>
      </c>
      <c r="B16" s="222">
        <f t="shared" si="21"/>
        <v>22840</v>
      </c>
      <c r="C16" s="222">
        <f t="shared" si="11"/>
        <v>1548</v>
      </c>
      <c r="D16" s="222">
        <v>1495</v>
      </c>
      <c r="E16" s="222">
        <v>10</v>
      </c>
      <c r="F16" s="222">
        <v>9</v>
      </c>
      <c r="G16" s="222">
        <v>34</v>
      </c>
      <c r="H16" s="222">
        <f t="shared" si="12"/>
        <v>12883</v>
      </c>
      <c r="I16" s="222">
        <v>568</v>
      </c>
      <c r="J16" s="222">
        <v>7</v>
      </c>
      <c r="K16" s="222">
        <v>11</v>
      </c>
      <c r="L16" s="222">
        <v>0</v>
      </c>
      <c r="M16" s="222">
        <v>2138</v>
      </c>
      <c r="N16" s="222">
        <v>1</v>
      </c>
      <c r="O16" s="222">
        <v>0</v>
      </c>
      <c r="P16" s="222">
        <v>5</v>
      </c>
      <c r="Q16" s="222">
        <v>22</v>
      </c>
      <c r="R16" s="222">
        <v>10131</v>
      </c>
      <c r="S16" s="222">
        <f t="shared" si="13"/>
        <v>0</v>
      </c>
      <c r="T16" s="222">
        <v>0</v>
      </c>
      <c r="U16" s="222">
        <v>0</v>
      </c>
      <c r="V16" s="222">
        <v>0</v>
      </c>
      <c r="W16" s="222">
        <v>0</v>
      </c>
      <c r="X16" s="222">
        <v>0</v>
      </c>
      <c r="Y16" s="222">
        <v>0</v>
      </c>
      <c r="Z16" s="222">
        <v>0</v>
      </c>
      <c r="AA16" s="222">
        <f t="shared" si="14"/>
        <v>0</v>
      </c>
      <c r="AB16" s="222">
        <v>0</v>
      </c>
      <c r="AC16" s="222">
        <v>0</v>
      </c>
      <c r="AD16" s="222">
        <v>0</v>
      </c>
      <c r="AE16" s="222">
        <v>0</v>
      </c>
      <c r="AF16" s="222">
        <v>0</v>
      </c>
      <c r="AG16" s="222">
        <v>0</v>
      </c>
      <c r="AH16" s="222">
        <f t="shared" si="15"/>
        <v>3058</v>
      </c>
      <c r="AI16" s="222">
        <v>2256</v>
      </c>
      <c r="AJ16" s="222">
        <v>802</v>
      </c>
      <c r="AK16" s="222">
        <v>0</v>
      </c>
      <c r="AL16" s="222">
        <f t="shared" si="16"/>
        <v>78</v>
      </c>
      <c r="AM16" s="222">
        <v>78</v>
      </c>
      <c r="AN16" s="222">
        <v>0</v>
      </c>
      <c r="AO16" s="222">
        <v>100</v>
      </c>
      <c r="AP16" s="222">
        <v>0</v>
      </c>
      <c r="AQ16" s="222">
        <v>0</v>
      </c>
      <c r="AR16" s="222">
        <v>100</v>
      </c>
      <c r="AS16" s="222">
        <f t="shared" si="17"/>
        <v>368</v>
      </c>
      <c r="AT16" s="222">
        <v>10</v>
      </c>
      <c r="AU16" s="222">
        <v>0</v>
      </c>
      <c r="AV16" s="222">
        <v>0</v>
      </c>
      <c r="AW16" s="222">
        <v>2</v>
      </c>
      <c r="AX16" s="222">
        <v>356</v>
      </c>
      <c r="AY16" s="222">
        <f t="shared" si="18"/>
        <v>0</v>
      </c>
      <c r="AZ16" s="222">
        <v>0</v>
      </c>
      <c r="BA16" s="222">
        <v>0</v>
      </c>
      <c r="BB16" s="222">
        <f t="shared" si="19"/>
        <v>0</v>
      </c>
      <c r="BC16" s="222">
        <v>0</v>
      </c>
      <c r="BD16" s="222">
        <v>0</v>
      </c>
      <c r="BE16" s="222">
        <v>0</v>
      </c>
      <c r="BF16" s="222">
        <v>0</v>
      </c>
      <c r="BG16" s="222">
        <f t="shared" si="20"/>
        <v>4805</v>
      </c>
      <c r="BH16" s="222">
        <v>0</v>
      </c>
      <c r="BI16" s="222">
        <v>0</v>
      </c>
      <c r="BJ16" s="222">
        <v>0</v>
      </c>
      <c r="BK16" s="222">
        <f>800+4004+1</f>
        <v>4805</v>
      </c>
    </row>
    <row r="17" spans="1:63" ht="39.75" customHeight="1">
      <c r="A17" s="228" t="s">
        <v>1267</v>
      </c>
      <c r="B17" s="222">
        <f t="shared" si="21"/>
        <v>19538</v>
      </c>
      <c r="C17" s="222">
        <f t="shared" si="11"/>
        <v>220</v>
      </c>
      <c r="D17" s="222">
        <v>212</v>
      </c>
      <c r="E17" s="222">
        <v>1</v>
      </c>
      <c r="F17" s="222">
        <v>0</v>
      </c>
      <c r="G17" s="222">
        <v>7</v>
      </c>
      <c r="H17" s="222">
        <f t="shared" si="12"/>
        <v>849</v>
      </c>
      <c r="I17" s="222">
        <v>30</v>
      </c>
      <c r="J17" s="222">
        <v>1</v>
      </c>
      <c r="K17" s="222">
        <v>0</v>
      </c>
      <c r="L17" s="222">
        <v>0</v>
      </c>
      <c r="M17" s="222">
        <v>350</v>
      </c>
      <c r="N17" s="222">
        <v>0</v>
      </c>
      <c r="O17" s="222">
        <v>0</v>
      </c>
      <c r="P17" s="222">
        <v>0</v>
      </c>
      <c r="Q17" s="222">
        <v>1</v>
      </c>
      <c r="R17" s="222">
        <v>467</v>
      </c>
      <c r="S17" s="222">
        <f t="shared" si="13"/>
        <v>4399</v>
      </c>
      <c r="T17" s="222">
        <v>0</v>
      </c>
      <c r="U17" s="222">
        <v>4399</v>
      </c>
      <c r="V17" s="222">
        <v>0</v>
      </c>
      <c r="W17" s="222">
        <v>0</v>
      </c>
      <c r="X17" s="222">
        <v>0</v>
      </c>
      <c r="Y17" s="222">
        <v>0</v>
      </c>
      <c r="Z17" s="222">
        <v>0</v>
      </c>
      <c r="AA17" s="222">
        <f t="shared" si="14"/>
        <v>0</v>
      </c>
      <c r="AB17" s="222">
        <v>0</v>
      </c>
      <c r="AC17" s="222">
        <v>0</v>
      </c>
      <c r="AD17" s="222">
        <v>0</v>
      </c>
      <c r="AE17" s="222">
        <v>0</v>
      </c>
      <c r="AF17" s="222">
        <v>0</v>
      </c>
      <c r="AG17" s="222">
        <v>0</v>
      </c>
      <c r="AH17" s="222">
        <f t="shared" si="15"/>
        <v>6943</v>
      </c>
      <c r="AI17" s="222">
        <v>4795</v>
      </c>
      <c r="AJ17" s="222">
        <v>2148</v>
      </c>
      <c r="AK17" s="222">
        <v>0</v>
      </c>
      <c r="AL17" s="222">
        <f t="shared" si="16"/>
        <v>60</v>
      </c>
      <c r="AM17" s="222">
        <v>60</v>
      </c>
      <c r="AN17" s="222">
        <v>0</v>
      </c>
      <c r="AO17" s="222">
        <v>1625</v>
      </c>
      <c r="AP17" s="222">
        <v>1625</v>
      </c>
      <c r="AQ17" s="222">
        <v>0</v>
      </c>
      <c r="AR17" s="222">
        <v>0</v>
      </c>
      <c r="AS17" s="222">
        <f t="shared" si="17"/>
        <v>193</v>
      </c>
      <c r="AT17" s="222">
        <v>109</v>
      </c>
      <c r="AU17" s="222">
        <v>0</v>
      </c>
      <c r="AV17" s="222">
        <v>0</v>
      </c>
      <c r="AW17" s="222">
        <v>1</v>
      </c>
      <c r="AX17" s="222">
        <v>83</v>
      </c>
      <c r="AY17" s="222">
        <f t="shared" si="18"/>
        <v>0</v>
      </c>
      <c r="AZ17" s="222">
        <v>0</v>
      </c>
      <c r="BA17" s="222">
        <v>0</v>
      </c>
      <c r="BB17" s="222">
        <f t="shared" si="19"/>
        <v>0</v>
      </c>
      <c r="BC17" s="222">
        <v>0</v>
      </c>
      <c r="BD17" s="222">
        <v>0</v>
      </c>
      <c r="BE17" s="222">
        <v>0</v>
      </c>
      <c r="BF17" s="222">
        <v>0</v>
      </c>
      <c r="BG17" s="222">
        <f t="shared" si="20"/>
        <v>5249</v>
      </c>
      <c r="BH17" s="222">
        <v>0</v>
      </c>
      <c r="BI17" s="222">
        <v>0</v>
      </c>
      <c r="BJ17" s="222">
        <v>0</v>
      </c>
      <c r="BK17" s="222">
        <f>5248+1</f>
        <v>5249</v>
      </c>
    </row>
    <row r="18" spans="1:63" ht="39.75" customHeight="1">
      <c r="A18" s="228" t="s">
        <v>1268</v>
      </c>
      <c r="B18" s="222">
        <f t="shared" si="21"/>
        <v>8219</v>
      </c>
      <c r="C18" s="222">
        <f t="shared" si="11"/>
        <v>766</v>
      </c>
      <c r="D18" s="222">
        <v>733</v>
      </c>
      <c r="E18" s="222">
        <v>0</v>
      </c>
      <c r="F18" s="222">
        <v>0</v>
      </c>
      <c r="G18" s="222">
        <v>33</v>
      </c>
      <c r="H18" s="222">
        <f t="shared" si="12"/>
        <v>7368</v>
      </c>
      <c r="I18" s="222">
        <v>122</v>
      </c>
      <c r="J18" s="222">
        <v>4</v>
      </c>
      <c r="K18" s="222">
        <v>5</v>
      </c>
      <c r="L18" s="222">
        <v>0</v>
      </c>
      <c r="M18" s="222">
        <v>19</v>
      </c>
      <c r="N18" s="222">
        <v>4</v>
      </c>
      <c r="O18" s="222">
        <v>0</v>
      </c>
      <c r="P18" s="222">
        <v>0</v>
      </c>
      <c r="Q18" s="222">
        <v>0</v>
      </c>
      <c r="R18" s="222">
        <v>7214</v>
      </c>
      <c r="S18" s="222">
        <f t="shared" si="13"/>
        <v>0</v>
      </c>
      <c r="T18" s="222">
        <v>0</v>
      </c>
      <c r="U18" s="222">
        <v>0</v>
      </c>
      <c r="V18" s="222">
        <v>0</v>
      </c>
      <c r="W18" s="222">
        <v>0</v>
      </c>
      <c r="X18" s="222">
        <v>0</v>
      </c>
      <c r="Y18" s="222">
        <v>0</v>
      </c>
      <c r="Z18" s="222">
        <v>0</v>
      </c>
      <c r="AA18" s="222">
        <f t="shared" si="14"/>
        <v>0</v>
      </c>
      <c r="AB18" s="222">
        <v>0</v>
      </c>
      <c r="AC18" s="222">
        <v>0</v>
      </c>
      <c r="AD18" s="222">
        <v>0</v>
      </c>
      <c r="AE18" s="222">
        <v>0</v>
      </c>
      <c r="AF18" s="222">
        <v>0</v>
      </c>
      <c r="AG18" s="222">
        <v>0</v>
      </c>
      <c r="AH18" s="222">
        <f t="shared" si="15"/>
        <v>0</v>
      </c>
      <c r="AI18" s="222">
        <v>0</v>
      </c>
      <c r="AJ18" s="222">
        <v>0</v>
      </c>
      <c r="AK18" s="222">
        <v>0</v>
      </c>
      <c r="AL18" s="222">
        <f t="shared" si="16"/>
        <v>0</v>
      </c>
      <c r="AM18" s="222">
        <v>0</v>
      </c>
      <c r="AN18" s="222">
        <v>0</v>
      </c>
      <c r="AO18" s="222">
        <v>10</v>
      </c>
      <c r="AP18" s="222">
        <v>10</v>
      </c>
      <c r="AQ18" s="222">
        <v>0</v>
      </c>
      <c r="AR18" s="222">
        <v>0</v>
      </c>
      <c r="AS18" s="222">
        <f t="shared" si="17"/>
        <v>62</v>
      </c>
      <c r="AT18" s="222">
        <v>9</v>
      </c>
      <c r="AU18" s="222">
        <v>0</v>
      </c>
      <c r="AV18" s="222">
        <v>0</v>
      </c>
      <c r="AW18" s="222">
        <v>8</v>
      </c>
      <c r="AX18" s="222">
        <v>45</v>
      </c>
      <c r="AY18" s="222">
        <f t="shared" si="18"/>
        <v>0</v>
      </c>
      <c r="AZ18" s="222">
        <v>0</v>
      </c>
      <c r="BA18" s="222">
        <v>0</v>
      </c>
      <c r="BB18" s="222">
        <f t="shared" si="19"/>
        <v>0</v>
      </c>
      <c r="BC18" s="222">
        <v>0</v>
      </c>
      <c r="BD18" s="222">
        <v>0</v>
      </c>
      <c r="BE18" s="222">
        <v>0</v>
      </c>
      <c r="BF18" s="222">
        <v>0</v>
      </c>
      <c r="BG18" s="222">
        <f t="shared" si="20"/>
        <v>13</v>
      </c>
      <c r="BH18" s="222">
        <v>0</v>
      </c>
      <c r="BI18" s="222">
        <v>0</v>
      </c>
      <c r="BJ18" s="222">
        <v>0</v>
      </c>
      <c r="BK18" s="222">
        <v>13</v>
      </c>
    </row>
    <row r="19" spans="1:63" ht="39.75" customHeight="1">
      <c r="A19" s="228" t="s">
        <v>1269</v>
      </c>
      <c r="B19" s="222">
        <f t="shared" si="21"/>
        <v>641</v>
      </c>
      <c r="C19" s="222">
        <f t="shared" si="11"/>
        <v>150</v>
      </c>
      <c r="D19" s="222">
        <v>145</v>
      </c>
      <c r="E19" s="222">
        <v>1</v>
      </c>
      <c r="F19" s="222">
        <v>0</v>
      </c>
      <c r="G19" s="222">
        <v>4</v>
      </c>
      <c r="H19" s="222">
        <f t="shared" si="12"/>
        <v>283</v>
      </c>
      <c r="I19" s="222">
        <v>21</v>
      </c>
      <c r="J19" s="222">
        <v>0</v>
      </c>
      <c r="K19" s="222">
        <v>0</v>
      </c>
      <c r="L19" s="222">
        <v>0</v>
      </c>
      <c r="M19" s="222">
        <v>0</v>
      </c>
      <c r="N19" s="222">
        <v>0</v>
      </c>
      <c r="O19" s="222">
        <v>0</v>
      </c>
      <c r="P19" s="222">
        <v>0</v>
      </c>
      <c r="Q19" s="222">
        <v>1</v>
      </c>
      <c r="R19" s="222">
        <v>261</v>
      </c>
      <c r="S19" s="222">
        <f t="shared" si="13"/>
        <v>0</v>
      </c>
      <c r="T19" s="222">
        <v>0</v>
      </c>
      <c r="U19" s="222">
        <v>0</v>
      </c>
      <c r="V19" s="222">
        <v>0</v>
      </c>
      <c r="W19" s="222">
        <v>0</v>
      </c>
      <c r="X19" s="222">
        <v>0</v>
      </c>
      <c r="Y19" s="222">
        <v>0</v>
      </c>
      <c r="Z19" s="222">
        <v>0</v>
      </c>
      <c r="AA19" s="222">
        <f t="shared" si="14"/>
        <v>0</v>
      </c>
      <c r="AB19" s="222">
        <v>0</v>
      </c>
      <c r="AC19" s="222">
        <v>0</v>
      </c>
      <c r="AD19" s="222">
        <v>0</v>
      </c>
      <c r="AE19" s="222">
        <v>0</v>
      </c>
      <c r="AF19" s="222">
        <v>0</v>
      </c>
      <c r="AG19" s="222">
        <v>0</v>
      </c>
      <c r="AH19" s="222">
        <f t="shared" si="15"/>
        <v>0</v>
      </c>
      <c r="AI19" s="222">
        <v>0</v>
      </c>
      <c r="AJ19" s="222">
        <v>0</v>
      </c>
      <c r="AK19" s="222">
        <v>0</v>
      </c>
      <c r="AL19" s="222">
        <f t="shared" si="16"/>
        <v>0</v>
      </c>
      <c r="AM19" s="222">
        <v>0</v>
      </c>
      <c r="AN19" s="222">
        <v>0</v>
      </c>
      <c r="AO19" s="222">
        <v>0</v>
      </c>
      <c r="AP19" s="222">
        <v>0</v>
      </c>
      <c r="AQ19" s="222">
        <v>0</v>
      </c>
      <c r="AR19" s="222">
        <v>0</v>
      </c>
      <c r="AS19" s="222">
        <f t="shared" si="17"/>
        <v>31</v>
      </c>
      <c r="AT19" s="222">
        <v>28</v>
      </c>
      <c r="AU19" s="222">
        <v>0</v>
      </c>
      <c r="AV19" s="222">
        <v>0</v>
      </c>
      <c r="AW19" s="222">
        <v>0</v>
      </c>
      <c r="AX19" s="222">
        <v>3</v>
      </c>
      <c r="AY19" s="222">
        <f t="shared" si="18"/>
        <v>0</v>
      </c>
      <c r="AZ19" s="222">
        <v>0</v>
      </c>
      <c r="BA19" s="222">
        <v>0</v>
      </c>
      <c r="BB19" s="222">
        <f t="shared" si="19"/>
        <v>0</v>
      </c>
      <c r="BC19" s="222">
        <v>0</v>
      </c>
      <c r="BD19" s="222">
        <v>0</v>
      </c>
      <c r="BE19" s="222">
        <v>0</v>
      </c>
      <c r="BF19" s="222">
        <v>0</v>
      </c>
      <c r="BG19" s="222">
        <f t="shared" si="20"/>
        <v>177</v>
      </c>
      <c r="BH19" s="222">
        <v>0</v>
      </c>
      <c r="BI19" s="222">
        <v>0</v>
      </c>
      <c r="BJ19" s="222">
        <v>0</v>
      </c>
      <c r="BK19" s="222">
        <v>177</v>
      </c>
    </row>
    <row r="20" spans="1:63" ht="39.75" customHeight="1">
      <c r="A20" s="228" t="s">
        <v>1270</v>
      </c>
      <c r="B20" s="222">
        <f t="shared" si="21"/>
        <v>760</v>
      </c>
      <c r="C20" s="222">
        <f t="shared" si="11"/>
        <v>0</v>
      </c>
      <c r="D20" s="222"/>
      <c r="E20" s="222"/>
      <c r="F20" s="222"/>
      <c r="G20" s="222"/>
      <c r="H20" s="222">
        <f t="shared" si="12"/>
        <v>0</v>
      </c>
      <c r="I20" s="222">
        <v>0</v>
      </c>
      <c r="J20" s="222">
        <v>0</v>
      </c>
      <c r="K20" s="222">
        <v>0</v>
      </c>
      <c r="L20" s="222">
        <v>0</v>
      </c>
      <c r="M20" s="222">
        <v>0</v>
      </c>
      <c r="N20" s="222">
        <v>0</v>
      </c>
      <c r="O20" s="222">
        <v>0</v>
      </c>
      <c r="P20" s="222">
        <v>0</v>
      </c>
      <c r="Q20" s="222">
        <v>0</v>
      </c>
      <c r="R20" s="222">
        <v>0</v>
      </c>
      <c r="S20" s="222">
        <f t="shared" si="13"/>
        <v>0</v>
      </c>
      <c r="T20" s="222">
        <v>0</v>
      </c>
      <c r="U20" s="222">
        <v>0</v>
      </c>
      <c r="V20" s="222">
        <v>0</v>
      </c>
      <c r="W20" s="222">
        <v>0</v>
      </c>
      <c r="X20" s="222">
        <v>0</v>
      </c>
      <c r="Y20" s="222">
        <v>0</v>
      </c>
      <c r="Z20" s="222">
        <v>0</v>
      </c>
      <c r="AA20" s="222">
        <f t="shared" si="14"/>
        <v>0</v>
      </c>
      <c r="AB20" s="222">
        <v>0</v>
      </c>
      <c r="AC20" s="222">
        <v>0</v>
      </c>
      <c r="AD20" s="222">
        <v>0</v>
      </c>
      <c r="AE20" s="222">
        <v>0</v>
      </c>
      <c r="AF20" s="222">
        <v>0</v>
      </c>
      <c r="AG20" s="222">
        <v>0</v>
      </c>
      <c r="AH20" s="222">
        <f t="shared" si="15"/>
        <v>0</v>
      </c>
      <c r="AI20" s="222">
        <v>0</v>
      </c>
      <c r="AJ20" s="222">
        <v>0</v>
      </c>
      <c r="AK20" s="222">
        <v>0</v>
      </c>
      <c r="AL20" s="222">
        <f t="shared" si="16"/>
        <v>0</v>
      </c>
      <c r="AM20" s="222">
        <v>0</v>
      </c>
      <c r="AN20" s="222">
        <v>0</v>
      </c>
      <c r="AO20" s="222">
        <v>0</v>
      </c>
      <c r="AP20" s="222">
        <v>0</v>
      </c>
      <c r="AQ20" s="222">
        <v>0</v>
      </c>
      <c r="AR20" s="222">
        <v>0</v>
      </c>
      <c r="AS20" s="222">
        <f t="shared" si="17"/>
        <v>0</v>
      </c>
      <c r="AT20" s="222">
        <v>0</v>
      </c>
      <c r="AU20" s="222">
        <v>0</v>
      </c>
      <c r="AV20" s="222">
        <v>0</v>
      </c>
      <c r="AW20" s="222">
        <v>0</v>
      </c>
      <c r="AX20" s="222">
        <v>0</v>
      </c>
      <c r="AY20" s="222">
        <f t="shared" si="18"/>
        <v>0</v>
      </c>
      <c r="AZ20" s="222">
        <v>0</v>
      </c>
      <c r="BA20" s="222">
        <v>0</v>
      </c>
      <c r="BB20" s="222">
        <f t="shared" si="19"/>
        <v>0</v>
      </c>
      <c r="BC20" s="222">
        <v>0</v>
      </c>
      <c r="BD20" s="222">
        <v>0</v>
      </c>
      <c r="BE20" s="222">
        <v>0</v>
      </c>
      <c r="BF20" s="222">
        <v>0</v>
      </c>
      <c r="BG20" s="222">
        <f t="shared" si="20"/>
        <v>760</v>
      </c>
      <c r="BH20" s="222">
        <v>0</v>
      </c>
      <c r="BI20" s="222">
        <v>0</v>
      </c>
      <c r="BJ20" s="222">
        <v>0</v>
      </c>
      <c r="BK20" s="222">
        <f>700+60</f>
        <v>760</v>
      </c>
    </row>
    <row r="21" spans="1:63" ht="39.75" customHeight="1">
      <c r="A21" s="228" t="s">
        <v>1271</v>
      </c>
      <c r="B21" s="222">
        <f t="shared" si="21"/>
        <v>0</v>
      </c>
      <c r="C21" s="222">
        <f t="shared" si="11"/>
        <v>0</v>
      </c>
      <c r="D21" s="222"/>
      <c r="E21" s="222"/>
      <c r="F21" s="222"/>
      <c r="G21" s="222"/>
      <c r="H21" s="222">
        <f t="shared" si="12"/>
        <v>0</v>
      </c>
      <c r="I21" s="222"/>
      <c r="J21" s="222"/>
      <c r="K21" s="222"/>
      <c r="L21" s="222"/>
      <c r="M21" s="222"/>
      <c r="N21" s="222"/>
      <c r="O21" s="222"/>
      <c r="P21" s="222"/>
      <c r="Q21" s="222"/>
      <c r="R21" s="222"/>
      <c r="S21" s="222">
        <f t="shared" si="13"/>
        <v>0</v>
      </c>
      <c r="T21" s="222"/>
      <c r="U21" s="222"/>
      <c r="V21" s="222"/>
      <c r="W21" s="222"/>
      <c r="X21" s="222"/>
      <c r="Y21" s="222"/>
      <c r="Z21" s="222"/>
      <c r="AA21" s="222">
        <f t="shared" si="14"/>
        <v>0</v>
      </c>
      <c r="AB21" s="222"/>
      <c r="AC21" s="222"/>
      <c r="AD21" s="222"/>
      <c r="AE21" s="222"/>
      <c r="AF21" s="222"/>
      <c r="AG21" s="222"/>
      <c r="AH21" s="222">
        <f t="shared" si="15"/>
        <v>0</v>
      </c>
      <c r="AI21" s="222"/>
      <c r="AJ21" s="222"/>
      <c r="AK21" s="222"/>
      <c r="AL21" s="222">
        <f t="shared" si="16"/>
        <v>0</v>
      </c>
      <c r="AM21" s="222"/>
      <c r="AN21" s="222"/>
      <c r="AO21" s="222">
        <f t="shared" ref="AO21:AO29" si="22">SUM(AP21:AR21)</f>
        <v>0</v>
      </c>
      <c r="AP21" s="222"/>
      <c r="AQ21" s="222"/>
      <c r="AR21" s="222"/>
      <c r="AS21" s="222">
        <f t="shared" si="17"/>
        <v>0</v>
      </c>
      <c r="AT21" s="222"/>
      <c r="AU21" s="222"/>
      <c r="AV21" s="222"/>
      <c r="AW21" s="222"/>
      <c r="AX21" s="222"/>
      <c r="AY21" s="222">
        <f t="shared" si="18"/>
        <v>0</v>
      </c>
      <c r="AZ21" s="222"/>
      <c r="BA21" s="222"/>
      <c r="BB21" s="222">
        <f t="shared" si="19"/>
        <v>0</v>
      </c>
      <c r="BC21" s="222">
        <v>0</v>
      </c>
      <c r="BD21" s="222">
        <v>0</v>
      </c>
      <c r="BE21" s="222">
        <v>0</v>
      </c>
      <c r="BF21" s="222">
        <v>0</v>
      </c>
      <c r="BG21" s="222">
        <f t="shared" si="20"/>
        <v>0</v>
      </c>
      <c r="BH21" s="222"/>
      <c r="BI21" s="222"/>
      <c r="BJ21" s="222"/>
      <c r="BK21" s="222"/>
    </row>
    <row r="22" spans="1:63" ht="39.75" customHeight="1">
      <c r="A22" s="228" t="s">
        <v>1272</v>
      </c>
      <c r="B22" s="222">
        <f t="shared" si="21"/>
        <v>12862</v>
      </c>
      <c r="C22" s="222">
        <f t="shared" si="11"/>
        <v>1521</v>
      </c>
      <c r="D22" s="222">
        <v>1270</v>
      </c>
      <c r="E22" s="222">
        <v>0</v>
      </c>
      <c r="F22" s="222">
        <v>0</v>
      </c>
      <c r="G22" s="222">
        <v>251</v>
      </c>
      <c r="H22" s="222">
        <f t="shared" si="12"/>
        <v>1712</v>
      </c>
      <c r="I22" s="222">
        <v>417</v>
      </c>
      <c r="J22" s="222">
        <v>1</v>
      </c>
      <c r="K22" s="222">
        <v>2</v>
      </c>
      <c r="L22" s="222">
        <v>0</v>
      </c>
      <c r="M22" s="222">
        <v>1210</v>
      </c>
      <c r="N22" s="222">
        <v>5</v>
      </c>
      <c r="O22" s="222">
        <v>0</v>
      </c>
      <c r="P22" s="222">
        <v>3</v>
      </c>
      <c r="Q22" s="222">
        <v>4</v>
      </c>
      <c r="R22" s="222">
        <v>70</v>
      </c>
      <c r="S22" s="222">
        <f t="shared" si="13"/>
        <v>14</v>
      </c>
      <c r="T22" s="222">
        <v>0</v>
      </c>
      <c r="U22" s="222">
        <v>0</v>
      </c>
      <c r="V22" s="222">
        <v>0</v>
      </c>
      <c r="W22" s="222">
        <v>0</v>
      </c>
      <c r="X22" s="222">
        <v>10</v>
      </c>
      <c r="Y22" s="222">
        <v>0</v>
      </c>
      <c r="Z22" s="222">
        <v>4</v>
      </c>
      <c r="AA22" s="222">
        <f t="shared" si="14"/>
        <v>0</v>
      </c>
      <c r="AB22" s="222">
        <v>0</v>
      </c>
      <c r="AC22" s="222">
        <v>0</v>
      </c>
      <c r="AD22" s="222">
        <v>0</v>
      </c>
      <c r="AE22" s="222">
        <v>0</v>
      </c>
      <c r="AF22" s="222">
        <v>0</v>
      </c>
      <c r="AG22" s="222">
        <v>0</v>
      </c>
      <c r="AH22" s="222">
        <f t="shared" si="15"/>
        <v>2295</v>
      </c>
      <c r="AI22" s="222">
        <v>1171</v>
      </c>
      <c r="AJ22" s="222">
        <v>1124</v>
      </c>
      <c r="AK22" s="222">
        <v>0</v>
      </c>
      <c r="AL22" s="222">
        <f t="shared" si="16"/>
        <v>64</v>
      </c>
      <c r="AM22" s="222">
        <v>64</v>
      </c>
      <c r="AN22" s="222">
        <v>0</v>
      </c>
      <c r="AO22" s="222">
        <f t="shared" si="22"/>
        <v>0</v>
      </c>
      <c r="AP22" s="222"/>
      <c r="AQ22" s="222"/>
      <c r="AR22" s="222"/>
      <c r="AS22" s="222">
        <f t="shared" si="17"/>
        <v>45</v>
      </c>
      <c r="AT22" s="222">
        <v>14</v>
      </c>
      <c r="AU22" s="222">
        <v>0</v>
      </c>
      <c r="AV22" s="222">
        <v>0</v>
      </c>
      <c r="AW22" s="222">
        <v>1</v>
      </c>
      <c r="AX22" s="222">
        <v>30</v>
      </c>
      <c r="AY22" s="222">
        <f t="shared" si="18"/>
        <v>0</v>
      </c>
      <c r="AZ22" s="222"/>
      <c r="BA22" s="222"/>
      <c r="BB22" s="222">
        <f t="shared" si="19"/>
        <v>0</v>
      </c>
      <c r="BC22" s="222">
        <v>0</v>
      </c>
      <c r="BD22" s="222">
        <v>0</v>
      </c>
      <c r="BE22" s="222">
        <v>0</v>
      </c>
      <c r="BF22" s="222">
        <v>0</v>
      </c>
      <c r="BG22" s="222">
        <f t="shared" si="20"/>
        <v>7211</v>
      </c>
      <c r="BH22" s="222">
        <v>0</v>
      </c>
      <c r="BI22" s="222">
        <v>0</v>
      </c>
      <c r="BJ22" s="222">
        <v>0</v>
      </c>
      <c r="BK22" s="222">
        <f>7213-2</f>
        <v>7211</v>
      </c>
    </row>
    <row r="23" spans="1:63" ht="39.75" customHeight="1">
      <c r="A23" s="228" t="s">
        <v>1273</v>
      </c>
      <c r="B23" s="222">
        <f t="shared" si="21"/>
        <v>10515</v>
      </c>
      <c r="C23" s="222">
        <f t="shared" si="11"/>
        <v>2972</v>
      </c>
      <c r="D23" s="222">
        <v>0</v>
      </c>
      <c r="E23" s="222">
        <v>0</v>
      </c>
      <c r="F23" s="222">
        <v>2972</v>
      </c>
      <c r="G23" s="222">
        <v>0</v>
      </c>
      <c r="H23" s="222">
        <f t="shared" si="12"/>
        <v>507</v>
      </c>
      <c r="I23" s="222">
        <v>0</v>
      </c>
      <c r="J23" s="222">
        <v>0</v>
      </c>
      <c r="K23" s="222">
        <v>0</v>
      </c>
      <c r="L23" s="222">
        <v>0</v>
      </c>
      <c r="M23" s="222">
        <v>409</v>
      </c>
      <c r="N23" s="222">
        <v>0</v>
      </c>
      <c r="O23" s="222">
        <v>0</v>
      </c>
      <c r="P23" s="222">
        <v>0</v>
      </c>
      <c r="Q23" s="222">
        <v>98</v>
      </c>
      <c r="R23" s="222">
        <v>0</v>
      </c>
      <c r="S23" s="222">
        <f t="shared" si="13"/>
        <v>1800</v>
      </c>
      <c r="T23" s="222">
        <v>0</v>
      </c>
      <c r="U23" s="222">
        <v>0</v>
      </c>
      <c r="V23" s="222">
        <v>0</v>
      </c>
      <c r="W23" s="222">
        <v>0</v>
      </c>
      <c r="X23" s="222">
        <v>400</v>
      </c>
      <c r="Y23" s="222">
        <v>0</v>
      </c>
      <c r="Z23" s="222">
        <v>1400</v>
      </c>
      <c r="AA23" s="222">
        <f t="shared" si="14"/>
        <v>0</v>
      </c>
      <c r="AB23" s="222">
        <v>0</v>
      </c>
      <c r="AC23" s="222">
        <v>0</v>
      </c>
      <c r="AD23" s="222">
        <v>0</v>
      </c>
      <c r="AE23" s="222">
        <v>0</v>
      </c>
      <c r="AF23" s="222">
        <v>0</v>
      </c>
      <c r="AG23" s="222">
        <v>0</v>
      </c>
      <c r="AH23" s="222">
        <f t="shared" si="15"/>
        <v>2275</v>
      </c>
      <c r="AI23" s="222">
        <v>2275</v>
      </c>
      <c r="AJ23" s="222">
        <v>0</v>
      </c>
      <c r="AK23" s="222">
        <v>0</v>
      </c>
      <c r="AL23" s="222">
        <f t="shared" si="16"/>
        <v>0</v>
      </c>
      <c r="AM23" s="222">
        <v>0</v>
      </c>
      <c r="AN23" s="222">
        <v>0</v>
      </c>
      <c r="AO23" s="222">
        <f t="shared" si="22"/>
        <v>0</v>
      </c>
      <c r="AP23" s="222"/>
      <c r="AQ23" s="222"/>
      <c r="AR23" s="222"/>
      <c r="AS23" s="222">
        <f t="shared" si="17"/>
        <v>50</v>
      </c>
      <c r="AT23" s="222">
        <v>0</v>
      </c>
      <c r="AU23" s="222">
        <v>0</v>
      </c>
      <c r="AV23" s="222">
        <v>0</v>
      </c>
      <c r="AW23" s="222">
        <v>0</v>
      </c>
      <c r="AX23" s="222">
        <v>50</v>
      </c>
      <c r="AY23" s="222">
        <f t="shared" si="18"/>
        <v>0</v>
      </c>
      <c r="AZ23" s="222"/>
      <c r="BA23" s="222"/>
      <c r="BB23" s="222">
        <f t="shared" si="19"/>
        <v>0</v>
      </c>
      <c r="BC23" s="222">
        <v>0</v>
      </c>
      <c r="BD23" s="222">
        <v>0</v>
      </c>
      <c r="BE23" s="222">
        <v>0</v>
      </c>
      <c r="BF23" s="222">
        <v>0</v>
      </c>
      <c r="BG23" s="222">
        <f t="shared" si="20"/>
        <v>2911</v>
      </c>
      <c r="BH23" s="222">
        <v>0</v>
      </c>
      <c r="BI23" s="222">
        <v>0</v>
      </c>
      <c r="BJ23" s="222">
        <v>0</v>
      </c>
      <c r="BK23" s="222">
        <f>2912-1</f>
        <v>2911</v>
      </c>
    </row>
    <row r="24" spans="1:63" ht="39.75" customHeight="1">
      <c r="A24" s="228" t="s">
        <v>1274</v>
      </c>
      <c r="B24" s="222">
        <f t="shared" si="21"/>
        <v>3142</v>
      </c>
      <c r="C24" s="222">
        <f t="shared" si="11"/>
        <v>66</v>
      </c>
      <c r="D24" s="222">
        <v>57</v>
      </c>
      <c r="E24" s="222">
        <v>0</v>
      </c>
      <c r="F24" s="222">
        <v>0</v>
      </c>
      <c r="G24" s="222">
        <v>9</v>
      </c>
      <c r="H24" s="222">
        <f t="shared" si="12"/>
        <v>826</v>
      </c>
      <c r="I24" s="222">
        <v>13</v>
      </c>
      <c r="J24" s="222">
        <v>0</v>
      </c>
      <c r="K24" s="222">
        <v>0</v>
      </c>
      <c r="L24" s="222">
        <v>0</v>
      </c>
      <c r="M24" s="222">
        <v>4</v>
      </c>
      <c r="N24" s="222">
        <v>0</v>
      </c>
      <c r="O24" s="222">
        <v>0</v>
      </c>
      <c r="P24" s="222">
        <v>0</v>
      </c>
      <c r="Q24" s="222">
        <v>0</v>
      </c>
      <c r="R24" s="222">
        <v>809</v>
      </c>
      <c r="S24" s="222">
        <f t="shared" si="13"/>
        <v>0</v>
      </c>
      <c r="T24" s="222">
        <v>0</v>
      </c>
      <c r="U24" s="222">
        <v>0</v>
      </c>
      <c r="V24" s="222">
        <v>0</v>
      </c>
      <c r="W24" s="222">
        <v>0</v>
      </c>
      <c r="X24" s="222">
        <v>0</v>
      </c>
      <c r="Y24" s="222">
        <v>0</v>
      </c>
      <c r="Z24" s="222">
        <v>0</v>
      </c>
      <c r="AA24" s="222">
        <f t="shared" si="14"/>
        <v>0</v>
      </c>
      <c r="AB24" s="222">
        <v>0</v>
      </c>
      <c r="AC24" s="222">
        <v>0</v>
      </c>
      <c r="AD24" s="222">
        <v>0</v>
      </c>
      <c r="AE24" s="222">
        <v>0</v>
      </c>
      <c r="AF24" s="222">
        <v>0</v>
      </c>
      <c r="AG24" s="222">
        <v>0</v>
      </c>
      <c r="AH24" s="222">
        <f t="shared" si="15"/>
        <v>224</v>
      </c>
      <c r="AI24" s="222">
        <v>154</v>
      </c>
      <c r="AJ24" s="222">
        <v>70</v>
      </c>
      <c r="AK24" s="222">
        <v>0</v>
      </c>
      <c r="AL24" s="222">
        <f t="shared" si="16"/>
        <v>0</v>
      </c>
      <c r="AM24" s="222">
        <v>0</v>
      </c>
      <c r="AN24" s="222">
        <v>0</v>
      </c>
      <c r="AO24" s="222">
        <f t="shared" si="22"/>
        <v>0</v>
      </c>
      <c r="AP24" s="222"/>
      <c r="AQ24" s="222"/>
      <c r="AR24" s="222"/>
      <c r="AS24" s="222">
        <f t="shared" si="17"/>
        <v>12</v>
      </c>
      <c r="AT24" s="222">
        <v>9</v>
      </c>
      <c r="AU24" s="222">
        <v>0</v>
      </c>
      <c r="AV24" s="222">
        <v>0</v>
      </c>
      <c r="AW24" s="222">
        <v>1</v>
      </c>
      <c r="AX24" s="222">
        <v>2</v>
      </c>
      <c r="AY24" s="222">
        <f t="shared" si="18"/>
        <v>0</v>
      </c>
      <c r="AZ24" s="222"/>
      <c r="BA24" s="222"/>
      <c r="BB24" s="222">
        <f t="shared" si="19"/>
        <v>0</v>
      </c>
      <c r="BC24" s="222">
        <v>0</v>
      </c>
      <c r="BD24" s="222">
        <v>0</v>
      </c>
      <c r="BE24" s="222">
        <v>0</v>
      </c>
      <c r="BF24" s="222">
        <v>0</v>
      </c>
      <c r="BG24" s="222">
        <f t="shared" si="20"/>
        <v>2014</v>
      </c>
      <c r="BH24" s="222">
        <v>0</v>
      </c>
      <c r="BI24" s="222">
        <v>0</v>
      </c>
      <c r="BJ24" s="222">
        <v>0</v>
      </c>
      <c r="BK24" s="222">
        <f>2015-1</f>
        <v>2014</v>
      </c>
    </row>
    <row r="25" spans="1:63" ht="39.75" customHeight="1">
      <c r="A25" s="228" t="s">
        <v>1275</v>
      </c>
      <c r="B25" s="222">
        <f t="shared" si="21"/>
        <v>5848</v>
      </c>
      <c r="C25" s="222">
        <f t="shared" si="11"/>
        <v>1665</v>
      </c>
      <c r="D25" s="222">
        <v>515</v>
      </c>
      <c r="E25" s="222">
        <v>4</v>
      </c>
      <c r="F25" s="222">
        <v>0</v>
      </c>
      <c r="G25" s="222">
        <v>1146</v>
      </c>
      <c r="H25" s="222">
        <f t="shared" si="12"/>
        <v>1424</v>
      </c>
      <c r="I25" s="222">
        <v>384</v>
      </c>
      <c r="J25" s="222">
        <v>2</v>
      </c>
      <c r="K25" s="222">
        <v>7</v>
      </c>
      <c r="L25" s="222">
        <v>20</v>
      </c>
      <c r="M25" s="222">
        <v>358</v>
      </c>
      <c r="N25" s="222">
        <v>5</v>
      </c>
      <c r="O25" s="222">
        <v>0</v>
      </c>
      <c r="P25" s="222">
        <v>0</v>
      </c>
      <c r="Q25" s="222">
        <v>217</v>
      </c>
      <c r="R25" s="222">
        <v>431</v>
      </c>
      <c r="S25" s="222">
        <f t="shared" si="13"/>
        <v>340</v>
      </c>
      <c r="T25" s="222">
        <v>0</v>
      </c>
      <c r="U25" s="222">
        <v>0</v>
      </c>
      <c r="V25" s="222">
        <v>0</v>
      </c>
      <c r="W25" s="222">
        <v>0</v>
      </c>
      <c r="X25" s="222">
        <v>240</v>
      </c>
      <c r="Y25" s="222">
        <v>0</v>
      </c>
      <c r="Z25" s="222">
        <v>100</v>
      </c>
      <c r="AA25" s="222">
        <f t="shared" si="14"/>
        <v>194</v>
      </c>
      <c r="AB25" s="222">
        <v>0</v>
      </c>
      <c r="AC25" s="222">
        <v>0</v>
      </c>
      <c r="AD25" s="222">
        <v>0</v>
      </c>
      <c r="AE25" s="222">
        <v>0</v>
      </c>
      <c r="AF25" s="222">
        <v>0</v>
      </c>
      <c r="AG25" s="222">
        <v>194</v>
      </c>
      <c r="AH25" s="222">
        <f t="shared" si="15"/>
        <v>584</v>
      </c>
      <c r="AI25" s="222">
        <v>426</v>
      </c>
      <c r="AJ25" s="222">
        <v>158</v>
      </c>
      <c r="AK25" s="222">
        <v>0</v>
      </c>
      <c r="AL25" s="222">
        <f t="shared" si="16"/>
        <v>138</v>
      </c>
      <c r="AM25" s="222">
        <v>103</v>
      </c>
      <c r="AN25" s="222">
        <v>35</v>
      </c>
      <c r="AO25" s="222">
        <f t="shared" si="22"/>
        <v>0</v>
      </c>
      <c r="AP25" s="222"/>
      <c r="AQ25" s="222"/>
      <c r="AR25" s="222"/>
      <c r="AS25" s="222">
        <f t="shared" si="17"/>
        <v>18</v>
      </c>
      <c r="AT25" s="222">
        <v>2</v>
      </c>
      <c r="AU25" s="222">
        <v>0</v>
      </c>
      <c r="AV25" s="222">
        <v>0</v>
      </c>
      <c r="AW25" s="222">
        <v>0</v>
      </c>
      <c r="AX25" s="222">
        <v>16</v>
      </c>
      <c r="AY25" s="222">
        <f t="shared" si="18"/>
        <v>0</v>
      </c>
      <c r="AZ25" s="222"/>
      <c r="BA25" s="222"/>
      <c r="BB25" s="222">
        <f t="shared" si="19"/>
        <v>0</v>
      </c>
      <c r="BC25" s="222">
        <v>0</v>
      </c>
      <c r="BD25" s="222">
        <v>0</v>
      </c>
      <c r="BE25" s="222">
        <v>0</v>
      </c>
      <c r="BF25" s="222">
        <v>0</v>
      </c>
      <c r="BG25" s="222">
        <f t="shared" si="20"/>
        <v>1485</v>
      </c>
      <c r="BH25" s="222">
        <v>0</v>
      </c>
      <c r="BI25" s="222">
        <v>0</v>
      </c>
      <c r="BJ25" s="222">
        <v>0</v>
      </c>
      <c r="BK25" s="222">
        <v>1485</v>
      </c>
    </row>
    <row r="26" spans="1:63" ht="39.75" customHeight="1">
      <c r="A26" s="228" t="s">
        <v>1276</v>
      </c>
      <c r="B26" s="222">
        <f t="shared" si="21"/>
        <v>10000</v>
      </c>
      <c r="C26" s="222">
        <f t="shared" si="11"/>
        <v>0</v>
      </c>
      <c r="D26" s="222"/>
      <c r="E26" s="222"/>
      <c r="F26" s="222"/>
      <c r="G26" s="222"/>
      <c r="H26" s="222">
        <f t="shared" si="12"/>
        <v>0</v>
      </c>
      <c r="I26" s="222">
        <v>0</v>
      </c>
      <c r="J26" s="222">
        <v>0</v>
      </c>
      <c r="K26" s="222">
        <v>0</v>
      </c>
      <c r="L26" s="222">
        <v>0</v>
      </c>
      <c r="M26" s="222">
        <v>0</v>
      </c>
      <c r="N26" s="222">
        <v>0</v>
      </c>
      <c r="O26" s="222">
        <v>0</v>
      </c>
      <c r="P26" s="222">
        <v>0</v>
      </c>
      <c r="Q26" s="222">
        <v>0</v>
      </c>
      <c r="R26" s="222">
        <v>0</v>
      </c>
      <c r="S26" s="222">
        <f t="shared" si="13"/>
        <v>0</v>
      </c>
      <c r="T26" s="222">
        <v>0</v>
      </c>
      <c r="U26" s="222">
        <v>0</v>
      </c>
      <c r="V26" s="222">
        <v>0</v>
      </c>
      <c r="W26" s="222">
        <v>0</v>
      </c>
      <c r="X26" s="222">
        <v>0</v>
      </c>
      <c r="Y26" s="222">
        <v>0</v>
      </c>
      <c r="Z26" s="222">
        <v>0</v>
      </c>
      <c r="AA26" s="222">
        <f t="shared" si="14"/>
        <v>0</v>
      </c>
      <c r="AB26" s="222">
        <v>0</v>
      </c>
      <c r="AC26" s="222">
        <v>0</v>
      </c>
      <c r="AD26" s="222">
        <v>0</v>
      </c>
      <c r="AE26" s="222">
        <v>0</v>
      </c>
      <c r="AF26" s="222">
        <v>0</v>
      </c>
      <c r="AG26" s="222">
        <v>0</v>
      </c>
      <c r="AH26" s="222">
        <f t="shared" si="15"/>
        <v>0</v>
      </c>
      <c r="AI26" s="222">
        <v>0</v>
      </c>
      <c r="AJ26" s="222">
        <v>0</v>
      </c>
      <c r="AK26" s="222">
        <v>0</v>
      </c>
      <c r="AL26" s="222">
        <f t="shared" si="16"/>
        <v>0</v>
      </c>
      <c r="AM26" s="222">
        <v>0</v>
      </c>
      <c r="AN26" s="222">
        <v>0</v>
      </c>
      <c r="AO26" s="222">
        <f t="shared" si="22"/>
        <v>0</v>
      </c>
      <c r="AP26" s="222"/>
      <c r="AQ26" s="222"/>
      <c r="AR26" s="222"/>
      <c r="AS26" s="222">
        <f t="shared" si="17"/>
        <v>0</v>
      </c>
      <c r="AT26" s="222">
        <v>0</v>
      </c>
      <c r="AU26" s="222">
        <v>0</v>
      </c>
      <c r="AV26" s="222">
        <v>0</v>
      </c>
      <c r="AW26" s="222">
        <v>0</v>
      </c>
      <c r="AX26" s="222">
        <v>0</v>
      </c>
      <c r="AY26" s="222">
        <f t="shared" si="18"/>
        <v>0</v>
      </c>
      <c r="AZ26" s="222"/>
      <c r="BA26" s="222"/>
      <c r="BB26" s="222">
        <f t="shared" si="19"/>
        <v>0</v>
      </c>
      <c r="BC26" s="222">
        <v>0</v>
      </c>
      <c r="BD26" s="222">
        <v>0</v>
      </c>
      <c r="BE26" s="222">
        <v>0</v>
      </c>
      <c r="BF26" s="222">
        <v>0</v>
      </c>
      <c r="BG26" s="222">
        <f t="shared" si="20"/>
        <v>10000</v>
      </c>
      <c r="BH26" s="222">
        <v>0</v>
      </c>
      <c r="BI26" s="222">
        <v>0</v>
      </c>
      <c r="BJ26" s="222">
        <v>0</v>
      </c>
      <c r="BK26" s="222">
        <v>10000</v>
      </c>
    </row>
    <row r="27" spans="1:63" ht="39.75" customHeight="1">
      <c r="A27" s="228" t="s">
        <v>1212</v>
      </c>
      <c r="B27" s="222">
        <f t="shared" si="21"/>
        <v>14927</v>
      </c>
      <c r="C27" s="222">
        <f t="shared" si="11"/>
        <v>11000</v>
      </c>
      <c r="D27" s="222">
        <v>0</v>
      </c>
      <c r="E27" s="222">
        <v>0</v>
      </c>
      <c r="F27" s="222">
        <v>0</v>
      </c>
      <c r="G27" s="222">
        <v>11000</v>
      </c>
      <c r="H27" s="222">
        <f t="shared" si="12"/>
        <v>1020</v>
      </c>
      <c r="I27" s="222">
        <v>0</v>
      </c>
      <c r="J27" s="222">
        <v>0</v>
      </c>
      <c r="K27" s="222">
        <v>0</v>
      </c>
      <c r="L27" s="222">
        <v>0</v>
      </c>
      <c r="M27" s="222">
        <v>0</v>
      </c>
      <c r="N27" s="222">
        <v>0</v>
      </c>
      <c r="O27" s="222">
        <v>0</v>
      </c>
      <c r="P27" s="222">
        <v>0</v>
      </c>
      <c r="Q27" s="222">
        <v>0</v>
      </c>
      <c r="R27" s="222">
        <v>1020</v>
      </c>
      <c r="S27" s="222">
        <f t="shared" si="13"/>
        <v>0</v>
      </c>
      <c r="T27" s="222">
        <v>0</v>
      </c>
      <c r="U27" s="222">
        <v>0</v>
      </c>
      <c r="V27" s="222">
        <v>0</v>
      </c>
      <c r="W27" s="222">
        <v>0</v>
      </c>
      <c r="X27" s="222">
        <v>0</v>
      </c>
      <c r="Y27" s="222">
        <v>0</v>
      </c>
      <c r="Z27" s="222">
        <v>0</v>
      </c>
      <c r="AA27" s="222">
        <f t="shared" si="14"/>
        <v>0</v>
      </c>
      <c r="AB27" s="222">
        <v>0</v>
      </c>
      <c r="AC27" s="222">
        <v>0</v>
      </c>
      <c r="AD27" s="222">
        <v>0</v>
      </c>
      <c r="AE27" s="222">
        <v>0</v>
      </c>
      <c r="AF27" s="222">
        <v>0</v>
      </c>
      <c r="AG27" s="222">
        <v>0</v>
      </c>
      <c r="AH27" s="222">
        <f t="shared" si="15"/>
        <v>0</v>
      </c>
      <c r="AI27" s="222"/>
      <c r="AJ27" s="222"/>
      <c r="AK27" s="222"/>
      <c r="AL27" s="222">
        <f t="shared" si="16"/>
        <v>0</v>
      </c>
      <c r="AM27" s="222">
        <v>0</v>
      </c>
      <c r="AN27" s="222">
        <v>0</v>
      </c>
      <c r="AO27" s="222">
        <f t="shared" si="22"/>
        <v>0</v>
      </c>
      <c r="AP27" s="222"/>
      <c r="AQ27" s="222"/>
      <c r="AR27" s="222"/>
      <c r="AS27" s="222">
        <f t="shared" si="17"/>
        <v>0</v>
      </c>
      <c r="AT27" s="222">
        <v>0</v>
      </c>
      <c r="AU27" s="222">
        <v>0</v>
      </c>
      <c r="AV27" s="222">
        <v>0</v>
      </c>
      <c r="AW27" s="222">
        <v>0</v>
      </c>
      <c r="AX27" s="222">
        <v>0</v>
      </c>
      <c r="AY27" s="222">
        <f t="shared" si="18"/>
        <v>0</v>
      </c>
      <c r="AZ27" s="222"/>
      <c r="BA27" s="222"/>
      <c r="BB27" s="222">
        <f t="shared" si="19"/>
        <v>0</v>
      </c>
      <c r="BC27" s="222"/>
      <c r="BD27" s="222">
        <v>0</v>
      </c>
      <c r="BE27" s="222">
        <v>0</v>
      </c>
      <c r="BF27" s="222">
        <v>0</v>
      </c>
      <c r="BG27" s="222">
        <f t="shared" si="20"/>
        <v>2907</v>
      </c>
      <c r="BH27" s="222">
        <v>0</v>
      </c>
      <c r="BI27" s="222">
        <v>0</v>
      </c>
      <c r="BJ27" s="222">
        <v>0</v>
      </c>
      <c r="BK27" s="222">
        <f>634+2273</f>
        <v>2907</v>
      </c>
    </row>
    <row r="28" spans="1:63" ht="39.75" customHeight="1">
      <c r="A28" s="228" t="s">
        <v>1277</v>
      </c>
      <c r="B28" s="222">
        <f t="shared" si="21"/>
        <v>20900</v>
      </c>
      <c r="C28" s="222">
        <f t="shared" si="11"/>
        <v>0</v>
      </c>
      <c r="D28" s="222"/>
      <c r="E28" s="222"/>
      <c r="F28" s="222"/>
      <c r="G28" s="222"/>
      <c r="H28" s="222">
        <f t="shared" si="12"/>
        <v>0</v>
      </c>
      <c r="I28" s="222"/>
      <c r="J28" s="222"/>
      <c r="K28" s="222"/>
      <c r="L28" s="222"/>
      <c r="M28" s="222"/>
      <c r="N28" s="222"/>
      <c r="O28" s="222"/>
      <c r="P28" s="222"/>
      <c r="Q28" s="222"/>
      <c r="R28" s="222"/>
      <c r="S28" s="222">
        <f t="shared" si="13"/>
        <v>0</v>
      </c>
      <c r="T28" s="222"/>
      <c r="U28" s="222"/>
      <c r="V28" s="222"/>
      <c r="W28" s="222"/>
      <c r="X28" s="222"/>
      <c r="Y28" s="222"/>
      <c r="Z28" s="222"/>
      <c r="AA28" s="222">
        <f t="shared" si="14"/>
        <v>0</v>
      </c>
      <c r="AB28" s="222"/>
      <c r="AC28" s="222"/>
      <c r="AD28" s="222"/>
      <c r="AE28" s="222"/>
      <c r="AF28" s="222"/>
      <c r="AG28" s="222"/>
      <c r="AH28" s="222">
        <f t="shared" si="15"/>
        <v>0</v>
      </c>
      <c r="AI28" s="222"/>
      <c r="AJ28" s="222"/>
      <c r="AK28" s="222"/>
      <c r="AL28" s="222">
        <f t="shared" si="16"/>
        <v>0</v>
      </c>
      <c r="AM28" s="222">
        <v>0</v>
      </c>
      <c r="AN28" s="222">
        <v>0</v>
      </c>
      <c r="AO28" s="222">
        <f t="shared" si="22"/>
        <v>0</v>
      </c>
      <c r="AP28" s="222"/>
      <c r="AQ28" s="222"/>
      <c r="AR28" s="222"/>
      <c r="AS28" s="222">
        <f t="shared" si="17"/>
        <v>0</v>
      </c>
      <c r="AT28" s="222"/>
      <c r="AU28" s="222"/>
      <c r="AV28" s="222"/>
      <c r="AW28" s="222"/>
      <c r="AX28" s="222"/>
      <c r="AY28" s="222">
        <f t="shared" si="18"/>
        <v>0</v>
      </c>
      <c r="AZ28" s="222"/>
      <c r="BA28" s="222"/>
      <c r="BB28" s="222">
        <f t="shared" si="19"/>
        <v>20900</v>
      </c>
      <c r="BC28" s="222">
        <v>20900</v>
      </c>
      <c r="BD28" s="222">
        <v>0</v>
      </c>
      <c r="BE28" s="222">
        <v>0</v>
      </c>
      <c r="BF28" s="222">
        <v>0</v>
      </c>
      <c r="BG28" s="222">
        <f t="shared" si="20"/>
        <v>0</v>
      </c>
      <c r="BH28" s="222">
        <v>0</v>
      </c>
      <c r="BI28" s="222">
        <v>0</v>
      </c>
      <c r="BJ28" s="222">
        <v>0</v>
      </c>
      <c r="BK28" s="222">
        <v>0</v>
      </c>
    </row>
    <row r="29" spans="1:63" ht="39.75" customHeight="1">
      <c r="A29" s="228" t="s">
        <v>1278</v>
      </c>
      <c r="B29" s="222">
        <f t="shared" si="21"/>
        <v>0</v>
      </c>
      <c r="C29" s="222">
        <f t="shared" si="11"/>
        <v>0</v>
      </c>
      <c r="D29" s="222"/>
      <c r="E29" s="222"/>
      <c r="F29" s="222"/>
      <c r="G29" s="222"/>
      <c r="H29" s="222">
        <f t="shared" si="12"/>
        <v>0</v>
      </c>
      <c r="I29" s="222"/>
      <c r="J29" s="222"/>
      <c r="K29" s="222"/>
      <c r="L29" s="222"/>
      <c r="M29" s="222"/>
      <c r="N29" s="222"/>
      <c r="O29" s="222"/>
      <c r="P29" s="222"/>
      <c r="Q29" s="222"/>
      <c r="R29" s="222"/>
      <c r="S29" s="222">
        <f t="shared" si="13"/>
        <v>0</v>
      </c>
      <c r="T29" s="222"/>
      <c r="U29" s="222"/>
      <c r="V29" s="222"/>
      <c r="W29" s="222"/>
      <c r="X29" s="222"/>
      <c r="Y29" s="222"/>
      <c r="Z29" s="222"/>
      <c r="AA29" s="222">
        <f t="shared" si="14"/>
        <v>0</v>
      </c>
      <c r="AB29" s="222"/>
      <c r="AC29" s="222"/>
      <c r="AD29" s="222"/>
      <c r="AE29" s="222"/>
      <c r="AF29" s="222"/>
      <c r="AG29" s="222"/>
      <c r="AH29" s="222">
        <f t="shared" si="15"/>
        <v>0</v>
      </c>
      <c r="AI29" s="222"/>
      <c r="AJ29" s="222"/>
      <c r="AK29" s="222"/>
      <c r="AL29" s="222">
        <f t="shared" si="16"/>
        <v>0</v>
      </c>
      <c r="AM29" s="222"/>
      <c r="AN29" s="222"/>
      <c r="AO29" s="222">
        <f t="shared" si="22"/>
        <v>0</v>
      </c>
      <c r="AP29" s="222"/>
      <c r="AQ29" s="222"/>
      <c r="AR29" s="222"/>
      <c r="AS29" s="222">
        <f t="shared" si="17"/>
        <v>0</v>
      </c>
      <c r="AT29" s="222"/>
      <c r="AU29" s="222"/>
      <c r="AV29" s="222"/>
      <c r="AW29" s="222"/>
      <c r="AX29" s="222"/>
      <c r="AY29" s="222">
        <f t="shared" si="18"/>
        <v>0</v>
      </c>
      <c r="AZ29" s="222"/>
      <c r="BA29" s="222"/>
      <c r="BB29" s="222">
        <f t="shared" si="19"/>
        <v>0</v>
      </c>
      <c r="BC29" s="222"/>
      <c r="BD29" s="222"/>
      <c r="BE29" s="222"/>
      <c r="BF29" s="222"/>
      <c r="BG29" s="222">
        <f t="shared" si="20"/>
        <v>0</v>
      </c>
      <c r="BH29" s="222"/>
      <c r="BI29" s="222"/>
      <c r="BJ29" s="222"/>
      <c r="BK29" s="222"/>
    </row>
  </sheetData>
  <mergeCells count="14">
    <mergeCell ref="A1:BK1"/>
    <mergeCell ref="C3:G3"/>
    <mergeCell ref="H3:R3"/>
    <mergeCell ref="S3:Z3"/>
    <mergeCell ref="AA3:AG3"/>
    <mergeCell ref="AH3:AK3"/>
    <mergeCell ref="AL3:AN3"/>
    <mergeCell ref="AO3:AR3"/>
    <mergeCell ref="AS3:AX3"/>
    <mergeCell ref="AY3:BA3"/>
    <mergeCell ref="BB3:BF3"/>
    <mergeCell ref="BG3:BK3"/>
    <mergeCell ref="A3:A4"/>
    <mergeCell ref="B3:B4"/>
  </mergeCells>
  <phoneticPr fontId="54" type="noConversion"/>
  <printOptions horizontalCentered="1"/>
  <pageMargins left="0.78680555555555598" right="0.78680555555555598" top="0.78680555555555598" bottom="0.98402777777777795" header="0.31388888888888899" footer="0.39305555555555599"/>
  <pageSetup paperSize="8" scale="49" fitToWidth="0"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23"/>
  <sheetViews>
    <sheetView tabSelected="1" view="pageBreakPreview" zoomScaleNormal="100" zoomScaleSheetLayoutView="100" workbookViewId="0">
      <pane xSplit="1" ySplit="5" topLeftCell="B6" activePane="bottomRight" state="frozen"/>
      <selection pane="topRight"/>
      <selection pane="bottomLeft"/>
      <selection pane="bottomRight" activeCell="N4" sqref="N4"/>
    </sheetView>
  </sheetViews>
  <sheetFormatPr defaultColWidth="6.875" defaultRowHeight="15"/>
  <cols>
    <col min="1" max="1" width="22.375" style="56" customWidth="1"/>
    <col min="2" max="2" width="7.625" style="56" customWidth="1"/>
    <col min="3" max="3" width="7.375" style="56" customWidth="1"/>
    <col min="4" max="4" width="6.75" style="56" customWidth="1"/>
    <col min="5" max="5" width="6" style="56" customWidth="1"/>
    <col min="6" max="6" width="5.75" style="56" customWidth="1"/>
    <col min="7" max="7" width="6.5" style="56" customWidth="1"/>
    <col min="8" max="9" width="5.75" style="56" customWidth="1"/>
    <col min="10" max="10" width="5" style="56" customWidth="1"/>
    <col min="11" max="11" width="5.625" style="56" customWidth="1"/>
    <col min="12" max="12" width="4.625" style="56" customWidth="1"/>
    <col min="13" max="14" width="4.875" style="56" customWidth="1"/>
    <col min="15" max="15" width="6.375" style="56" customWidth="1"/>
    <col min="16" max="16" width="5.625" style="56" customWidth="1"/>
    <col min="17" max="17" width="6.25" style="56" customWidth="1"/>
    <col min="18" max="18" width="6" style="56" customWidth="1"/>
    <col min="19" max="20" width="6.75" style="56" customWidth="1"/>
    <col min="21" max="21" width="5.875" style="56" customWidth="1"/>
    <col min="22" max="22" width="6.625" style="56" customWidth="1"/>
    <col min="23" max="23" width="5.75" style="56" customWidth="1"/>
    <col min="24" max="24" width="5.25" style="56" customWidth="1"/>
    <col min="25" max="25" width="4.625" style="56" customWidth="1"/>
    <col min="26" max="26" width="4.75" style="56" customWidth="1"/>
    <col min="27" max="27" width="4.375" style="56" customWidth="1"/>
    <col min="28" max="28" width="6" style="56" customWidth="1"/>
    <col min="29" max="240" width="6.875" style="56" customWidth="1"/>
  </cols>
  <sheetData>
    <row r="1" spans="1:28" s="218" customFormat="1" ht="30" customHeight="1">
      <c r="A1" s="365" t="s">
        <v>1279</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row>
    <row r="2" spans="1:28" s="55" customFormat="1" ht="24" customHeight="1">
      <c r="A2" s="161" t="s">
        <v>1280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25" t="s">
        <v>86</v>
      </c>
    </row>
    <row r="3" spans="1:28" ht="35.1" customHeight="1">
      <c r="A3" s="362" t="s">
        <v>1201</v>
      </c>
      <c r="B3" s="364" t="s">
        <v>215</v>
      </c>
      <c r="C3" s="366" t="s">
        <v>1202</v>
      </c>
      <c r="D3" s="353"/>
      <c r="E3" s="353"/>
      <c r="F3" s="353"/>
      <c r="G3" s="353"/>
      <c r="H3" s="366" t="s">
        <v>1203</v>
      </c>
      <c r="I3" s="367"/>
      <c r="J3" s="367"/>
      <c r="K3" s="367"/>
      <c r="L3" s="367"/>
      <c r="M3" s="367"/>
      <c r="N3" s="367"/>
      <c r="O3" s="367"/>
      <c r="P3" s="367"/>
      <c r="Q3" s="367"/>
      <c r="R3" s="368"/>
      <c r="S3" s="366" t="s">
        <v>1206</v>
      </c>
      <c r="T3" s="367"/>
      <c r="U3" s="367"/>
      <c r="V3" s="368"/>
      <c r="W3" s="366" t="s">
        <v>1209</v>
      </c>
      <c r="X3" s="367"/>
      <c r="Y3" s="367"/>
      <c r="Z3" s="367"/>
      <c r="AA3" s="367"/>
      <c r="AB3" s="368"/>
    </row>
    <row r="4" spans="1:28" ht="81" customHeight="1">
      <c r="A4" s="363"/>
      <c r="B4" s="353"/>
      <c r="C4" s="220" t="s">
        <v>1213</v>
      </c>
      <c r="D4" s="220" t="s">
        <v>1214</v>
      </c>
      <c r="E4" s="220" t="s">
        <v>1215</v>
      </c>
      <c r="F4" s="220" t="s">
        <v>1281</v>
      </c>
      <c r="G4" s="220" t="s">
        <v>1217</v>
      </c>
      <c r="H4" s="220" t="s">
        <v>1213</v>
      </c>
      <c r="I4" s="220" t="s">
        <v>1218</v>
      </c>
      <c r="J4" s="220" t="s">
        <v>1219</v>
      </c>
      <c r="K4" s="220" t="s">
        <v>1220</v>
      </c>
      <c r="L4" s="220" t="s">
        <v>1221</v>
      </c>
      <c r="M4" s="220" t="s">
        <v>1282</v>
      </c>
      <c r="N4" s="220" t="s">
        <v>1223</v>
      </c>
      <c r="O4" s="220" t="s">
        <v>1224</v>
      </c>
      <c r="P4" s="220" t="s">
        <v>1225</v>
      </c>
      <c r="Q4" s="220" t="s">
        <v>1226</v>
      </c>
      <c r="R4" s="220" t="s">
        <v>1227</v>
      </c>
      <c r="S4" s="220" t="s">
        <v>1213</v>
      </c>
      <c r="T4" s="220" t="s">
        <v>1235</v>
      </c>
      <c r="U4" s="220" t="s">
        <v>1236</v>
      </c>
      <c r="V4" s="220" t="s">
        <v>1237</v>
      </c>
      <c r="W4" s="220" t="s">
        <v>1213</v>
      </c>
      <c r="X4" s="220" t="s">
        <v>1243</v>
      </c>
      <c r="Y4" s="220" t="s">
        <v>1244</v>
      </c>
      <c r="Z4" s="220" t="s">
        <v>1245</v>
      </c>
      <c r="AA4" s="220" t="s">
        <v>1246</v>
      </c>
      <c r="AB4" s="220" t="s">
        <v>1247</v>
      </c>
    </row>
    <row r="5" spans="1:28" ht="24.95" customHeight="1">
      <c r="A5" s="221" t="s">
        <v>113</v>
      </c>
      <c r="B5" s="222">
        <f t="shared" ref="B5" si="0">SUM(B6:B22)</f>
        <v>106370</v>
      </c>
      <c r="C5" s="222">
        <f>SUM(D5:G5)</f>
        <v>55095</v>
      </c>
      <c r="D5" s="222">
        <f>SUM(D6:D22)</f>
        <v>35868</v>
      </c>
      <c r="E5" s="222">
        <f>SUM(E6:E22)</f>
        <v>7144</v>
      </c>
      <c r="F5" s="222">
        <f>SUM(F6:F22)</f>
        <v>3001</v>
      </c>
      <c r="G5" s="222">
        <f>SUM(G6:G22)</f>
        <v>9082</v>
      </c>
      <c r="H5" s="222">
        <f>SUM(I5:R5)</f>
        <v>8036</v>
      </c>
      <c r="I5" s="222">
        <f>SUM(I6:I22)</f>
        <v>5695</v>
      </c>
      <c r="J5" s="222">
        <f t="shared" ref="J5:R5" si="1">SUM(J6:J22)</f>
        <v>55</v>
      </c>
      <c r="K5" s="222">
        <f t="shared" si="1"/>
        <v>62</v>
      </c>
      <c r="L5" s="222">
        <f t="shared" si="1"/>
        <v>7</v>
      </c>
      <c r="M5" s="222">
        <f t="shared" si="1"/>
        <v>648</v>
      </c>
      <c r="N5" s="222">
        <f t="shared" si="1"/>
        <v>113</v>
      </c>
      <c r="O5" s="222">
        <f t="shared" si="1"/>
        <v>5</v>
      </c>
      <c r="P5" s="222">
        <f t="shared" si="1"/>
        <v>310</v>
      </c>
      <c r="Q5" s="222">
        <f t="shared" si="1"/>
        <v>114</v>
      </c>
      <c r="R5" s="222">
        <f t="shared" si="1"/>
        <v>1027</v>
      </c>
      <c r="S5" s="222">
        <f>SUM(T5:V5)</f>
        <v>41575</v>
      </c>
      <c r="T5" s="222">
        <f t="shared" ref="T5:V5" si="2">SUM(T6:T22)</f>
        <v>39110</v>
      </c>
      <c r="U5" s="222">
        <f t="shared" si="2"/>
        <v>2465</v>
      </c>
      <c r="V5" s="222">
        <f t="shared" si="2"/>
        <v>0</v>
      </c>
      <c r="W5" s="222">
        <f>SUM(X5:AB5)</f>
        <v>1664</v>
      </c>
      <c r="X5" s="222">
        <f t="shared" ref="X5:AB5" si="3">SUM(X6:X22)</f>
        <v>495</v>
      </c>
      <c r="Y5" s="222">
        <f t="shared" si="3"/>
        <v>0</v>
      </c>
      <c r="Z5" s="222">
        <f t="shared" si="3"/>
        <v>0</v>
      </c>
      <c r="AA5" s="222">
        <f t="shared" si="3"/>
        <v>237</v>
      </c>
      <c r="AB5" s="222">
        <f t="shared" si="3"/>
        <v>932</v>
      </c>
    </row>
    <row r="6" spans="1:28" ht="24.95" customHeight="1">
      <c r="A6" s="223" t="s">
        <v>190</v>
      </c>
      <c r="B6" s="222">
        <f>C6+H6+S6+W6</f>
        <v>20758</v>
      </c>
      <c r="C6" s="222">
        <f>SUM(D6:G6)</f>
        <v>14499</v>
      </c>
      <c r="D6" s="222">
        <v>13418</v>
      </c>
      <c r="E6" s="222">
        <v>86</v>
      </c>
      <c r="F6" s="222"/>
      <c r="G6" s="222">
        <v>995</v>
      </c>
      <c r="H6" s="222">
        <f>SUM(I6:R6)</f>
        <v>2658</v>
      </c>
      <c r="I6" s="222">
        <v>1965</v>
      </c>
      <c r="J6" s="222">
        <v>27</v>
      </c>
      <c r="K6" s="222">
        <v>17</v>
      </c>
      <c r="L6" s="222">
        <v>4</v>
      </c>
      <c r="M6" s="222">
        <v>187</v>
      </c>
      <c r="N6" s="222">
        <v>66</v>
      </c>
      <c r="O6" s="222"/>
      <c r="P6" s="222">
        <v>117</v>
      </c>
      <c r="Q6" s="222">
        <v>18</v>
      </c>
      <c r="R6" s="222">
        <v>257</v>
      </c>
      <c r="S6" s="222">
        <f>SUM(T6:V6)</f>
        <v>3332</v>
      </c>
      <c r="T6" s="222">
        <v>3098</v>
      </c>
      <c r="U6" s="222">
        <v>234</v>
      </c>
      <c r="V6" s="222"/>
      <c r="W6" s="222">
        <f>SUM(X6:AB6)</f>
        <v>269</v>
      </c>
      <c r="X6" s="222">
        <v>54</v>
      </c>
      <c r="Y6" s="222"/>
      <c r="Z6" s="222"/>
      <c r="AA6" s="222">
        <v>8</v>
      </c>
      <c r="AB6" s="222">
        <v>207</v>
      </c>
    </row>
    <row r="7" spans="1:28" ht="24.95" customHeight="1">
      <c r="A7" s="223" t="s">
        <v>1258</v>
      </c>
      <c r="B7" s="222">
        <f t="shared" ref="B7:B22" si="4">C7+H7+S7+W7</f>
        <v>22874</v>
      </c>
      <c r="C7" s="222">
        <f t="shared" ref="C7:C22" si="5">SUM(D7:G7)</f>
        <v>18909</v>
      </c>
      <c r="D7" s="222">
        <v>11795</v>
      </c>
      <c r="E7" s="222">
        <v>83</v>
      </c>
      <c r="F7" s="222"/>
      <c r="G7" s="222">
        <v>7031</v>
      </c>
      <c r="H7" s="222">
        <f t="shared" ref="H7:H22" si="6">SUM(I7:R7)</f>
        <v>3703</v>
      </c>
      <c r="I7" s="222">
        <v>2324</v>
      </c>
      <c r="J7" s="222">
        <v>8</v>
      </c>
      <c r="K7" s="222">
        <v>28</v>
      </c>
      <c r="L7" s="222">
        <v>3</v>
      </c>
      <c r="M7" s="222">
        <v>400</v>
      </c>
      <c r="N7" s="222">
        <v>11</v>
      </c>
      <c r="O7" s="222">
        <v>5</v>
      </c>
      <c r="P7" s="222">
        <v>185</v>
      </c>
      <c r="Q7" s="222">
        <v>82</v>
      </c>
      <c r="R7" s="222">
        <v>657</v>
      </c>
      <c r="S7" s="222">
        <f t="shared" ref="S7:S22" si="7">SUM(T7:V7)</f>
        <v>54</v>
      </c>
      <c r="T7" s="222">
        <v>46</v>
      </c>
      <c r="U7" s="222">
        <v>8</v>
      </c>
      <c r="V7" s="222"/>
      <c r="W7" s="222">
        <f t="shared" ref="W7:W22" si="8">SUM(X7:AB7)</f>
        <v>208</v>
      </c>
      <c r="X7" s="222">
        <v>39</v>
      </c>
      <c r="Y7" s="222"/>
      <c r="Z7" s="222"/>
      <c r="AA7" s="222">
        <v>6</v>
      </c>
      <c r="AB7" s="222">
        <v>163</v>
      </c>
    </row>
    <row r="8" spans="1:28" ht="24.95" customHeight="1">
      <c r="A8" s="223" t="s">
        <v>1259</v>
      </c>
      <c r="B8" s="222">
        <f t="shared" si="4"/>
        <v>13772</v>
      </c>
      <c r="C8" s="222">
        <f t="shared" si="5"/>
        <v>1004</v>
      </c>
      <c r="D8" s="222">
        <v>871</v>
      </c>
      <c r="E8" s="222">
        <v>9</v>
      </c>
      <c r="F8" s="222"/>
      <c r="G8" s="222">
        <v>124</v>
      </c>
      <c r="H8" s="222">
        <f t="shared" si="6"/>
        <v>130</v>
      </c>
      <c r="I8" s="222">
        <v>94</v>
      </c>
      <c r="J8" s="222">
        <v>1</v>
      </c>
      <c r="K8" s="222"/>
      <c r="L8" s="222"/>
      <c r="M8" s="222">
        <v>2</v>
      </c>
      <c r="N8" s="222">
        <v>2</v>
      </c>
      <c r="O8" s="222"/>
      <c r="P8" s="222"/>
      <c r="Q8" s="222"/>
      <c r="R8" s="222">
        <v>31</v>
      </c>
      <c r="S8" s="222">
        <f t="shared" si="7"/>
        <v>12490</v>
      </c>
      <c r="T8" s="222">
        <v>11553</v>
      </c>
      <c r="U8" s="222">
        <v>937</v>
      </c>
      <c r="V8" s="222"/>
      <c r="W8" s="222">
        <f t="shared" si="8"/>
        <v>148</v>
      </c>
      <c r="X8" s="222">
        <v>28</v>
      </c>
      <c r="Y8" s="222"/>
      <c r="Z8" s="222"/>
      <c r="AA8" s="222">
        <v>5</v>
      </c>
      <c r="AB8" s="222">
        <v>115</v>
      </c>
    </row>
    <row r="9" spans="1:28" ht="24.95" customHeight="1">
      <c r="A9" s="223" t="s">
        <v>1260</v>
      </c>
      <c r="B9" s="222">
        <f t="shared" si="4"/>
        <v>586</v>
      </c>
      <c r="C9" s="222">
        <f t="shared" si="5"/>
        <v>265</v>
      </c>
      <c r="D9" s="222">
        <v>246</v>
      </c>
      <c r="E9" s="222">
        <v>2</v>
      </c>
      <c r="F9" s="222"/>
      <c r="G9" s="222">
        <v>17</v>
      </c>
      <c r="H9" s="222">
        <f t="shared" si="6"/>
        <v>43</v>
      </c>
      <c r="I9" s="222">
        <v>32</v>
      </c>
      <c r="J9" s="222">
        <v>1</v>
      </c>
      <c r="K9" s="222"/>
      <c r="L9" s="222"/>
      <c r="M9" s="222">
        <v>4</v>
      </c>
      <c r="N9" s="222"/>
      <c r="O9" s="222"/>
      <c r="P9" s="222"/>
      <c r="Q9" s="222"/>
      <c r="R9" s="222">
        <v>6</v>
      </c>
      <c r="S9" s="222">
        <f t="shared" si="7"/>
        <v>268</v>
      </c>
      <c r="T9" s="222">
        <v>252</v>
      </c>
      <c r="U9" s="222">
        <v>16</v>
      </c>
      <c r="V9" s="222"/>
      <c r="W9" s="222">
        <f t="shared" si="8"/>
        <v>10</v>
      </c>
      <c r="X9" s="222"/>
      <c r="Y9" s="222"/>
      <c r="Z9" s="222"/>
      <c r="AA9" s="222">
        <v>1</v>
      </c>
      <c r="AB9" s="222">
        <v>9</v>
      </c>
    </row>
    <row r="10" spans="1:28" ht="24.95" customHeight="1">
      <c r="A10" s="223" t="s">
        <v>1261</v>
      </c>
      <c r="B10" s="222">
        <f t="shared" si="4"/>
        <v>5961</v>
      </c>
      <c r="C10" s="222">
        <f t="shared" si="5"/>
        <v>1006</v>
      </c>
      <c r="D10" s="222">
        <v>839</v>
      </c>
      <c r="E10" s="222">
        <v>9</v>
      </c>
      <c r="F10" s="222"/>
      <c r="G10" s="222">
        <v>158</v>
      </c>
      <c r="H10" s="222">
        <f t="shared" si="6"/>
        <v>126</v>
      </c>
      <c r="I10" s="222">
        <v>117</v>
      </c>
      <c r="J10" s="222"/>
      <c r="K10" s="222"/>
      <c r="L10" s="222"/>
      <c r="M10" s="222"/>
      <c r="N10" s="222">
        <v>3</v>
      </c>
      <c r="O10" s="222"/>
      <c r="P10" s="222"/>
      <c r="Q10" s="222"/>
      <c r="R10" s="222">
        <v>6</v>
      </c>
      <c r="S10" s="222">
        <f t="shared" si="7"/>
        <v>4708</v>
      </c>
      <c r="T10" s="222">
        <v>4348</v>
      </c>
      <c r="U10" s="222">
        <v>360</v>
      </c>
      <c r="V10" s="222"/>
      <c r="W10" s="222">
        <f t="shared" si="8"/>
        <v>121</v>
      </c>
      <c r="X10" s="222">
        <v>43</v>
      </c>
      <c r="Y10" s="222"/>
      <c r="Z10" s="222"/>
      <c r="AA10" s="222">
        <v>3</v>
      </c>
      <c r="AB10" s="222">
        <v>75</v>
      </c>
    </row>
    <row r="11" spans="1:28" ht="24.95" customHeight="1">
      <c r="A11" s="223" t="s">
        <v>1262</v>
      </c>
      <c r="B11" s="222">
        <f t="shared" si="4"/>
        <v>11620</v>
      </c>
      <c r="C11" s="222">
        <f t="shared" si="5"/>
        <v>6663</v>
      </c>
      <c r="D11" s="222">
        <v>1541</v>
      </c>
      <c r="E11" s="222">
        <v>5046</v>
      </c>
      <c r="F11" s="222">
        <v>20</v>
      </c>
      <c r="G11" s="222">
        <v>56</v>
      </c>
      <c r="H11" s="222">
        <f t="shared" si="6"/>
        <v>254</v>
      </c>
      <c r="I11" s="222">
        <v>228</v>
      </c>
      <c r="J11" s="222"/>
      <c r="K11" s="222"/>
      <c r="L11" s="222"/>
      <c r="M11" s="222">
        <v>10</v>
      </c>
      <c r="N11" s="222">
        <v>5</v>
      </c>
      <c r="O11" s="222"/>
      <c r="P11" s="222"/>
      <c r="Q11" s="222"/>
      <c r="R11" s="222">
        <v>11</v>
      </c>
      <c r="S11" s="222">
        <f t="shared" si="7"/>
        <v>4429</v>
      </c>
      <c r="T11" s="222">
        <v>4393</v>
      </c>
      <c r="U11" s="222">
        <v>36</v>
      </c>
      <c r="V11" s="222"/>
      <c r="W11" s="222">
        <f t="shared" si="8"/>
        <v>274</v>
      </c>
      <c r="X11" s="222">
        <v>49</v>
      </c>
      <c r="Y11" s="222"/>
      <c r="Z11" s="222"/>
      <c r="AA11" s="222">
        <v>197</v>
      </c>
      <c r="AB11" s="222">
        <v>28</v>
      </c>
    </row>
    <row r="12" spans="1:28" ht="24.95" customHeight="1">
      <c r="A12" s="223" t="s">
        <v>1263</v>
      </c>
      <c r="B12" s="222">
        <f t="shared" si="4"/>
        <v>6058</v>
      </c>
      <c r="C12" s="222">
        <f t="shared" si="5"/>
        <v>3396</v>
      </c>
      <c r="D12" s="222">
        <v>1306</v>
      </c>
      <c r="E12" s="222">
        <v>1887</v>
      </c>
      <c r="F12" s="222"/>
      <c r="G12" s="222">
        <v>203</v>
      </c>
      <c r="H12" s="222">
        <f t="shared" si="6"/>
        <v>149</v>
      </c>
      <c r="I12" s="222">
        <v>119</v>
      </c>
      <c r="J12" s="222">
        <v>3</v>
      </c>
      <c r="K12" s="222">
        <v>4</v>
      </c>
      <c r="L12" s="222"/>
      <c r="M12" s="222">
        <v>7</v>
      </c>
      <c r="N12" s="222">
        <v>5</v>
      </c>
      <c r="O12" s="222"/>
      <c r="P12" s="222"/>
      <c r="Q12" s="222">
        <v>1</v>
      </c>
      <c r="R12" s="222">
        <v>10</v>
      </c>
      <c r="S12" s="222">
        <f t="shared" si="7"/>
        <v>2475</v>
      </c>
      <c r="T12" s="222">
        <v>2403</v>
      </c>
      <c r="U12" s="222">
        <v>72</v>
      </c>
      <c r="V12" s="222"/>
      <c r="W12" s="222">
        <f t="shared" si="8"/>
        <v>38</v>
      </c>
      <c r="X12" s="222">
        <v>17</v>
      </c>
      <c r="Y12" s="222"/>
      <c r="Z12" s="222"/>
      <c r="AA12" s="222">
        <v>3</v>
      </c>
      <c r="AB12" s="222">
        <v>18</v>
      </c>
    </row>
    <row r="13" spans="1:28" ht="24.95" customHeight="1">
      <c r="A13" s="223" t="s">
        <v>1264</v>
      </c>
      <c r="B13" s="222">
        <f t="shared" si="4"/>
        <v>1288</v>
      </c>
      <c r="C13" s="222">
        <f t="shared" si="5"/>
        <v>526</v>
      </c>
      <c r="D13" s="222">
        <v>445</v>
      </c>
      <c r="E13" s="222"/>
      <c r="F13" s="222"/>
      <c r="G13" s="222">
        <v>81</v>
      </c>
      <c r="H13" s="222">
        <f t="shared" si="6"/>
        <v>72</v>
      </c>
      <c r="I13" s="222">
        <v>53</v>
      </c>
      <c r="J13" s="222">
        <v>0</v>
      </c>
      <c r="K13" s="222">
        <v>3</v>
      </c>
      <c r="L13" s="222"/>
      <c r="M13" s="222">
        <v>6</v>
      </c>
      <c r="N13" s="222">
        <v>5</v>
      </c>
      <c r="O13" s="222"/>
      <c r="P13" s="222"/>
      <c r="Q13" s="222">
        <v>2</v>
      </c>
      <c r="R13" s="222">
        <v>3</v>
      </c>
      <c r="S13" s="222">
        <f t="shared" si="7"/>
        <v>674</v>
      </c>
      <c r="T13" s="222">
        <v>626</v>
      </c>
      <c r="U13" s="222">
        <v>48</v>
      </c>
      <c r="V13" s="222"/>
      <c r="W13" s="222">
        <f t="shared" si="8"/>
        <v>16</v>
      </c>
      <c r="X13" s="222">
        <v>5</v>
      </c>
      <c r="Y13" s="222"/>
      <c r="Z13" s="222"/>
      <c r="AA13" s="222"/>
      <c r="AB13" s="222">
        <v>11</v>
      </c>
    </row>
    <row r="14" spans="1:28" ht="24.95" customHeight="1">
      <c r="A14" s="223" t="s">
        <v>1265</v>
      </c>
      <c r="B14" s="222">
        <f t="shared" si="4"/>
        <v>2855</v>
      </c>
      <c r="C14" s="222">
        <f t="shared" si="5"/>
        <v>1011</v>
      </c>
      <c r="D14" s="222">
        <v>980</v>
      </c>
      <c r="E14" s="222">
        <v>6</v>
      </c>
      <c r="F14" s="222"/>
      <c r="G14" s="222">
        <v>25</v>
      </c>
      <c r="H14" s="222">
        <f t="shared" si="6"/>
        <v>148</v>
      </c>
      <c r="I14" s="222">
        <v>132</v>
      </c>
      <c r="J14" s="222">
        <v>1</v>
      </c>
      <c r="K14" s="222">
        <v>1</v>
      </c>
      <c r="L14" s="222"/>
      <c r="M14" s="222">
        <v>8</v>
      </c>
      <c r="N14" s="222">
        <v>1</v>
      </c>
      <c r="O14" s="222"/>
      <c r="P14" s="222"/>
      <c r="Q14" s="222">
        <v>4</v>
      </c>
      <c r="R14" s="222">
        <v>1</v>
      </c>
      <c r="S14" s="222">
        <f t="shared" si="7"/>
        <v>1529</v>
      </c>
      <c r="T14" s="222">
        <v>1427</v>
      </c>
      <c r="U14" s="222">
        <v>102</v>
      </c>
      <c r="V14" s="222"/>
      <c r="W14" s="222">
        <f t="shared" si="8"/>
        <v>167</v>
      </c>
      <c r="X14" s="222">
        <v>79</v>
      </c>
      <c r="Y14" s="222"/>
      <c r="Z14" s="222"/>
      <c r="AA14" s="222">
        <v>1</v>
      </c>
      <c r="AB14" s="222">
        <v>87</v>
      </c>
    </row>
    <row r="15" spans="1:28" ht="24.95" customHeight="1">
      <c r="A15" s="223" t="s">
        <v>1266</v>
      </c>
      <c r="B15" s="222">
        <f t="shared" si="4"/>
        <v>4249</v>
      </c>
      <c r="C15" s="222">
        <f t="shared" si="5"/>
        <v>1548</v>
      </c>
      <c r="D15" s="222">
        <v>1495</v>
      </c>
      <c r="E15" s="222">
        <v>10</v>
      </c>
      <c r="F15" s="222">
        <v>9</v>
      </c>
      <c r="G15" s="222">
        <v>34</v>
      </c>
      <c r="H15" s="222">
        <f t="shared" si="6"/>
        <v>255</v>
      </c>
      <c r="I15" s="222">
        <v>218</v>
      </c>
      <c r="J15" s="222">
        <v>6</v>
      </c>
      <c r="K15" s="222">
        <v>1</v>
      </c>
      <c r="L15" s="222"/>
      <c r="M15" s="222">
        <v>8</v>
      </c>
      <c r="N15" s="222">
        <v>1</v>
      </c>
      <c r="O15" s="222"/>
      <c r="P15" s="222">
        <v>5</v>
      </c>
      <c r="Q15" s="222">
        <v>1</v>
      </c>
      <c r="R15" s="222">
        <v>15</v>
      </c>
      <c r="S15" s="222">
        <f t="shared" si="7"/>
        <v>2394</v>
      </c>
      <c r="T15" s="222">
        <v>2256</v>
      </c>
      <c r="U15" s="222">
        <v>138</v>
      </c>
      <c r="V15" s="222"/>
      <c r="W15" s="222">
        <f t="shared" si="8"/>
        <v>52</v>
      </c>
      <c r="X15" s="222">
        <v>10</v>
      </c>
      <c r="Y15" s="222"/>
      <c r="Z15" s="222"/>
      <c r="AA15" s="222">
        <v>2</v>
      </c>
      <c r="AB15" s="222">
        <v>40</v>
      </c>
    </row>
    <row r="16" spans="1:28" ht="24.95" customHeight="1">
      <c r="A16" s="223" t="s">
        <v>1267</v>
      </c>
      <c r="B16" s="222">
        <f t="shared" si="4"/>
        <v>5594</v>
      </c>
      <c r="C16" s="222">
        <f t="shared" si="5"/>
        <v>220</v>
      </c>
      <c r="D16" s="222">
        <v>212</v>
      </c>
      <c r="E16" s="222">
        <v>1</v>
      </c>
      <c r="F16" s="222"/>
      <c r="G16" s="222">
        <v>7</v>
      </c>
      <c r="H16" s="222">
        <f t="shared" si="6"/>
        <v>37</v>
      </c>
      <c r="I16" s="222">
        <v>30</v>
      </c>
      <c r="J16" s="222">
        <v>1</v>
      </c>
      <c r="K16" s="222">
        <v>0</v>
      </c>
      <c r="L16" s="222"/>
      <c r="M16" s="222"/>
      <c r="N16" s="222"/>
      <c r="O16" s="222"/>
      <c r="P16" s="222"/>
      <c r="Q16" s="222">
        <v>1</v>
      </c>
      <c r="R16" s="222">
        <v>5</v>
      </c>
      <c r="S16" s="222">
        <f t="shared" si="7"/>
        <v>5144</v>
      </c>
      <c r="T16" s="222">
        <v>4795</v>
      </c>
      <c r="U16" s="222">
        <v>349</v>
      </c>
      <c r="V16" s="222"/>
      <c r="W16" s="222">
        <f t="shared" si="8"/>
        <v>193</v>
      </c>
      <c r="X16" s="222">
        <v>109</v>
      </c>
      <c r="Y16" s="222"/>
      <c r="Z16" s="222"/>
      <c r="AA16" s="222">
        <v>1</v>
      </c>
      <c r="AB16" s="222">
        <v>83</v>
      </c>
    </row>
    <row r="17" spans="1:28" ht="24.95" customHeight="1">
      <c r="A17" s="223" t="s">
        <v>1268</v>
      </c>
      <c r="B17" s="222">
        <f t="shared" si="4"/>
        <v>952</v>
      </c>
      <c r="C17" s="222">
        <f t="shared" si="5"/>
        <v>766</v>
      </c>
      <c r="D17" s="222">
        <v>733</v>
      </c>
      <c r="E17" s="222"/>
      <c r="F17" s="222"/>
      <c r="G17" s="222">
        <v>33</v>
      </c>
      <c r="H17" s="222">
        <f t="shared" si="6"/>
        <v>124</v>
      </c>
      <c r="I17" s="222">
        <v>102</v>
      </c>
      <c r="J17" s="222">
        <v>4</v>
      </c>
      <c r="K17" s="222">
        <v>5</v>
      </c>
      <c r="L17" s="222"/>
      <c r="M17" s="222"/>
      <c r="N17" s="222">
        <v>4</v>
      </c>
      <c r="O17" s="222"/>
      <c r="P17" s="222"/>
      <c r="Q17" s="222"/>
      <c r="R17" s="222">
        <v>9</v>
      </c>
      <c r="S17" s="222"/>
      <c r="T17" s="222"/>
      <c r="U17" s="222"/>
      <c r="V17" s="222"/>
      <c r="W17" s="222">
        <f t="shared" si="8"/>
        <v>62</v>
      </c>
      <c r="X17" s="222">
        <v>9</v>
      </c>
      <c r="Y17" s="222"/>
      <c r="Z17" s="222"/>
      <c r="AA17" s="222">
        <v>8</v>
      </c>
      <c r="AB17" s="222">
        <v>45</v>
      </c>
    </row>
    <row r="18" spans="1:28" ht="24.95" customHeight="1">
      <c r="A18" s="223" t="s">
        <v>1269</v>
      </c>
      <c r="B18" s="222">
        <f t="shared" si="4"/>
        <v>204</v>
      </c>
      <c r="C18" s="222">
        <f t="shared" si="5"/>
        <v>150</v>
      </c>
      <c r="D18" s="222">
        <v>145</v>
      </c>
      <c r="E18" s="222">
        <v>1</v>
      </c>
      <c r="F18" s="222"/>
      <c r="G18" s="222">
        <v>4</v>
      </c>
      <c r="H18" s="222">
        <f t="shared" si="6"/>
        <v>23</v>
      </c>
      <c r="I18" s="222">
        <v>21</v>
      </c>
      <c r="J18" s="222"/>
      <c r="K18" s="222"/>
      <c r="L18" s="222"/>
      <c r="M18" s="222"/>
      <c r="N18" s="222"/>
      <c r="O18" s="222"/>
      <c r="P18" s="222"/>
      <c r="Q18" s="222">
        <v>1</v>
      </c>
      <c r="R18" s="222">
        <v>1</v>
      </c>
      <c r="S18" s="222"/>
      <c r="T18" s="222"/>
      <c r="U18" s="222"/>
      <c r="V18" s="222"/>
      <c r="W18" s="222">
        <f t="shared" si="8"/>
        <v>31</v>
      </c>
      <c r="X18" s="222">
        <v>28</v>
      </c>
      <c r="Y18" s="222"/>
      <c r="Z18" s="222"/>
      <c r="AA18" s="222"/>
      <c r="AB18" s="222">
        <v>3</v>
      </c>
    </row>
    <row r="19" spans="1:28" ht="24.95" customHeight="1">
      <c r="A19" s="223" t="s">
        <v>1272</v>
      </c>
      <c r="B19" s="222">
        <f t="shared" si="4"/>
        <v>2912</v>
      </c>
      <c r="C19" s="222">
        <f t="shared" si="5"/>
        <v>1521</v>
      </c>
      <c r="D19" s="222">
        <v>1270</v>
      </c>
      <c r="E19" s="222"/>
      <c r="F19" s="222"/>
      <c r="G19" s="222">
        <v>251</v>
      </c>
      <c r="H19" s="222">
        <f t="shared" si="6"/>
        <v>211</v>
      </c>
      <c r="I19" s="222">
        <v>175</v>
      </c>
      <c r="J19" s="222">
        <v>1</v>
      </c>
      <c r="K19" s="222">
        <v>1</v>
      </c>
      <c r="L19" s="222"/>
      <c r="M19" s="222">
        <v>11</v>
      </c>
      <c r="N19" s="222">
        <v>5</v>
      </c>
      <c r="O19" s="222"/>
      <c r="P19" s="222">
        <v>3</v>
      </c>
      <c r="Q19" s="222">
        <v>4</v>
      </c>
      <c r="R19" s="222">
        <v>11</v>
      </c>
      <c r="S19" s="222">
        <f t="shared" si="7"/>
        <v>1135</v>
      </c>
      <c r="T19" s="222">
        <v>1058</v>
      </c>
      <c r="U19" s="222">
        <v>77</v>
      </c>
      <c r="V19" s="222"/>
      <c r="W19" s="222">
        <f t="shared" si="8"/>
        <v>45</v>
      </c>
      <c r="X19" s="222">
        <v>14</v>
      </c>
      <c r="Y19" s="222"/>
      <c r="Z19" s="222"/>
      <c r="AA19" s="222">
        <v>1</v>
      </c>
      <c r="AB19" s="222">
        <v>30</v>
      </c>
    </row>
    <row r="20" spans="1:28" ht="24.95" customHeight="1">
      <c r="A20" s="223" t="s">
        <v>1273</v>
      </c>
      <c r="B20" s="222">
        <f t="shared" si="4"/>
        <v>5247</v>
      </c>
      <c r="C20" s="222">
        <f t="shared" si="5"/>
        <v>2972</v>
      </c>
      <c r="D20" s="222"/>
      <c r="E20" s="222"/>
      <c r="F20" s="222">
        <v>2972</v>
      </c>
      <c r="G20" s="222"/>
      <c r="H20" s="222">
        <f t="shared" si="6"/>
        <v>0</v>
      </c>
      <c r="I20" s="222"/>
      <c r="J20" s="222"/>
      <c r="K20" s="222"/>
      <c r="L20" s="222"/>
      <c r="M20" s="222"/>
      <c r="N20" s="222"/>
      <c r="O20" s="222"/>
      <c r="P20" s="222"/>
      <c r="Q20" s="222"/>
      <c r="R20" s="222"/>
      <c r="S20" s="222">
        <f t="shared" si="7"/>
        <v>2275</v>
      </c>
      <c r="T20" s="222">
        <v>2275</v>
      </c>
      <c r="U20" s="222"/>
      <c r="V20" s="222"/>
      <c r="W20" s="222">
        <f t="shared" si="8"/>
        <v>0</v>
      </c>
      <c r="X20" s="222"/>
      <c r="Y20" s="222"/>
      <c r="Z20" s="222"/>
      <c r="AA20" s="222"/>
      <c r="AB20" s="222"/>
    </row>
    <row r="21" spans="1:28" ht="24.95" customHeight="1">
      <c r="A21" s="223" t="s">
        <v>1274</v>
      </c>
      <c r="B21" s="222">
        <f t="shared" si="4"/>
        <v>257</v>
      </c>
      <c r="C21" s="222">
        <f t="shared" si="5"/>
        <v>66</v>
      </c>
      <c r="D21" s="222">
        <v>57</v>
      </c>
      <c r="E21" s="222"/>
      <c r="F21" s="222"/>
      <c r="G21" s="222">
        <v>9</v>
      </c>
      <c r="H21" s="222">
        <f t="shared" si="6"/>
        <v>10</v>
      </c>
      <c r="I21" s="222">
        <v>7</v>
      </c>
      <c r="J21" s="222"/>
      <c r="K21" s="222"/>
      <c r="L21" s="222"/>
      <c r="M21" s="222">
        <v>2</v>
      </c>
      <c r="N21" s="222"/>
      <c r="O21" s="222"/>
      <c r="P21" s="222"/>
      <c r="Q21" s="222"/>
      <c r="R21" s="222">
        <v>1</v>
      </c>
      <c r="S21" s="222">
        <f t="shared" si="7"/>
        <v>169</v>
      </c>
      <c r="T21" s="222">
        <v>154</v>
      </c>
      <c r="U21" s="222">
        <v>15</v>
      </c>
      <c r="V21" s="222"/>
      <c r="W21" s="222">
        <f t="shared" si="8"/>
        <v>12</v>
      </c>
      <c r="X21" s="222">
        <v>9</v>
      </c>
      <c r="Y21" s="222"/>
      <c r="Z21" s="222"/>
      <c r="AA21" s="222">
        <v>1</v>
      </c>
      <c r="AB21" s="222">
        <v>2</v>
      </c>
    </row>
    <row r="22" spans="1:28" ht="24.95" customHeight="1">
      <c r="A22" s="223" t="s">
        <v>1275</v>
      </c>
      <c r="B22" s="222">
        <f t="shared" si="4"/>
        <v>1183</v>
      </c>
      <c r="C22" s="222">
        <f t="shared" si="5"/>
        <v>573</v>
      </c>
      <c r="D22" s="222">
        <v>515</v>
      </c>
      <c r="E22" s="222">
        <v>4</v>
      </c>
      <c r="F22" s="222"/>
      <c r="G22" s="222">
        <v>54</v>
      </c>
      <c r="H22" s="222">
        <f t="shared" si="6"/>
        <v>93</v>
      </c>
      <c r="I22" s="222">
        <v>78</v>
      </c>
      <c r="J22" s="222">
        <v>2</v>
      </c>
      <c r="K22" s="222">
        <v>2</v>
      </c>
      <c r="L22" s="222"/>
      <c r="M22" s="222">
        <v>3</v>
      </c>
      <c r="N22" s="222">
        <v>5</v>
      </c>
      <c r="O22" s="222"/>
      <c r="P22" s="222"/>
      <c r="Q22" s="222"/>
      <c r="R22" s="222">
        <v>3</v>
      </c>
      <c r="S22" s="222">
        <f t="shared" si="7"/>
        <v>499</v>
      </c>
      <c r="T22" s="222">
        <v>426</v>
      </c>
      <c r="U22" s="222">
        <v>73</v>
      </c>
      <c r="V22" s="222"/>
      <c r="W22" s="222">
        <f t="shared" si="8"/>
        <v>18</v>
      </c>
      <c r="X22" s="222">
        <v>2</v>
      </c>
      <c r="Y22" s="222"/>
      <c r="Z22" s="222"/>
      <c r="AA22" s="222"/>
      <c r="AB22" s="222">
        <v>16</v>
      </c>
    </row>
    <row r="23" spans="1:28" ht="21" customHeight="1">
      <c r="A23" s="224"/>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row>
  </sheetData>
  <mergeCells count="7">
    <mergeCell ref="A1:AB1"/>
    <mergeCell ref="C3:G3"/>
    <mergeCell ref="H3:R3"/>
    <mergeCell ref="S3:V3"/>
    <mergeCell ref="W3:AB3"/>
    <mergeCell ref="A3:A4"/>
    <mergeCell ref="B3:B4"/>
  </mergeCells>
  <phoneticPr fontId="54" type="noConversion"/>
  <pageMargins left="0.78680555555555598" right="0.78680555555555598" top="0.78680555555555598" bottom="0.98402777777777795" header="0.31388888888888899" footer="0.31388888888888899"/>
  <pageSetup paperSize="8" scale="98"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S7"/>
  <sheetViews>
    <sheetView workbookViewId="0">
      <pane xSplit="1" ySplit="3" topLeftCell="B4" activePane="bottomRight" state="frozen"/>
      <selection pane="topRight"/>
      <selection pane="bottomLeft"/>
      <selection pane="bottomRight" activeCell="C6" sqref="C6"/>
    </sheetView>
  </sheetViews>
  <sheetFormatPr defaultColWidth="9.125" defaultRowHeight="14.25"/>
  <cols>
    <col min="1" max="1" width="36.5" style="121" customWidth="1"/>
    <col min="2" max="2" width="17.125" style="121" customWidth="1"/>
    <col min="3" max="4" width="12.125" style="121" customWidth="1"/>
    <col min="5" max="244" width="9.125" style="121" customWidth="1"/>
    <col min="245" max="253" width="9.125" style="212" customWidth="1"/>
  </cols>
  <sheetData>
    <row r="1" spans="1:4" ht="30" customHeight="1">
      <c r="A1" s="369" t="s">
        <v>1283</v>
      </c>
      <c r="B1" s="369"/>
      <c r="C1" s="369"/>
      <c r="D1" s="369"/>
    </row>
    <row r="2" spans="1:4" ht="21.75" customHeight="1">
      <c r="A2" s="206" t="s">
        <v>1284</v>
      </c>
      <c r="D2" s="213" t="s">
        <v>86</v>
      </c>
    </row>
    <row r="3" spans="1:4" ht="35.1" customHeight="1">
      <c r="A3" s="214" t="s">
        <v>204</v>
      </c>
      <c r="B3" s="215" t="s">
        <v>1285</v>
      </c>
      <c r="C3" s="207" t="s">
        <v>1286</v>
      </c>
      <c r="D3" s="207" t="s">
        <v>1287</v>
      </c>
    </row>
    <row r="4" spans="1:4" ht="40.5" customHeight="1">
      <c r="A4" s="216" t="s">
        <v>1288</v>
      </c>
      <c r="B4" s="208">
        <f t="shared" ref="B4:B6" si="0">SUM(C4:D4)</f>
        <v>23315</v>
      </c>
      <c r="C4" s="134">
        <v>16719</v>
      </c>
      <c r="D4" s="134">
        <v>6596</v>
      </c>
    </row>
    <row r="5" spans="1:4" ht="40.5" customHeight="1">
      <c r="A5" s="216" t="s">
        <v>1289</v>
      </c>
      <c r="B5" s="208">
        <f t="shared" si="0"/>
        <v>362879</v>
      </c>
      <c r="C5" s="134">
        <v>85085</v>
      </c>
      <c r="D5" s="134">
        <v>277794</v>
      </c>
    </row>
    <row r="6" spans="1:4" ht="40.5" customHeight="1">
      <c r="A6" s="216" t="s">
        <v>1290</v>
      </c>
      <c r="B6" s="208">
        <f t="shared" si="0"/>
        <v>371080</v>
      </c>
      <c r="C6" s="217">
        <v>96192</v>
      </c>
      <c r="D6" s="217">
        <v>274888</v>
      </c>
    </row>
    <row r="7" spans="1:4" ht="40.5" customHeight="1">
      <c r="A7" s="214" t="s">
        <v>1291</v>
      </c>
      <c r="B7" s="208">
        <f>SUM(B4:B6)</f>
        <v>757274</v>
      </c>
      <c r="C7" s="208">
        <f>SUM(C4:C6)</f>
        <v>197996</v>
      </c>
      <c r="D7" s="208">
        <f>SUM(D4:D6)</f>
        <v>559278</v>
      </c>
    </row>
  </sheetData>
  <mergeCells count="1">
    <mergeCell ref="A1:D1"/>
  </mergeCells>
  <phoneticPr fontId="54" type="noConversion"/>
  <printOptions horizontalCentered="1"/>
  <pageMargins left="0.78680555555555598" right="0.78680555555555598" top="0.78680555555555598" bottom="0.98402777777777795" header="0.51180555555555596" footer="0.51180555555555596"/>
  <pageSetup paperSize="9" fitToWidth="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125"/>
  <sheetViews>
    <sheetView workbookViewId="0">
      <selection activeCell="A30" sqref="A30"/>
    </sheetView>
  </sheetViews>
  <sheetFormatPr defaultColWidth="18.25" defaultRowHeight="14.25"/>
  <cols>
    <col min="1" max="1" width="32.5" style="205" customWidth="1"/>
    <col min="2" max="2" width="10.875" style="205" customWidth="1"/>
    <col min="3" max="3" width="10.25" style="205" customWidth="1"/>
    <col min="4" max="4" width="11.125" style="205" customWidth="1"/>
    <col min="5" max="9" width="10.75" style="205" customWidth="1"/>
    <col min="10" max="11" width="18.25" style="205" hidden="1" customWidth="1"/>
    <col min="12" max="16384" width="18.25" style="205"/>
  </cols>
  <sheetData>
    <row r="1" spans="1:256" s="201" customFormat="1" ht="24" customHeight="1">
      <c r="A1" s="349" t="s">
        <v>1292</v>
      </c>
      <c r="B1" s="349"/>
      <c r="C1" s="349"/>
      <c r="D1" s="349"/>
      <c r="E1" s="349"/>
      <c r="F1" s="349"/>
      <c r="G1" s="349"/>
      <c r="H1" s="349"/>
      <c r="I1" s="349"/>
    </row>
    <row r="2" spans="1:256" s="202" customFormat="1" ht="16.5" customHeight="1">
      <c r="A2" s="206" t="s">
        <v>1293</v>
      </c>
      <c r="C2" s="203"/>
      <c r="D2" s="203"/>
      <c r="I2" s="211" t="s">
        <v>86</v>
      </c>
    </row>
    <row r="3" spans="1:256" s="203" customFormat="1" ht="20.25" customHeight="1">
      <c r="A3" s="207" t="s">
        <v>1201</v>
      </c>
      <c r="B3" s="207" t="s">
        <v>1294</v>
      </c>
      <c r="C3" s="207" t="s">
        <v>1295</v>
      </c>
      <c r="D3" s="207" t="s">
        <v>1287</v>
      </c>
      <c r="E3" s="207" t="s">
        <v>1296</v>
      </c>
      <c r="F3" s="207" t="s">
        <v>1297</v>
      </c>
      <c r="G3" s="207" t="s">
        <v>1298</v>
      </c>
      <c r="H3" s="207" t="s">
        <v>1299</v>
      </c>
      <c r="I3" s="207" t="s">
        <v>1300</v>
      </c>
      <c r="J3" s="204">
        <v>356080</v>
      </c>
      <c r="K3" s="204">
        <v>81192</v>
      </c>
    </row>
    <row r="4" spans="1:256" s="204" customFormat="1" ht="18" customHeight="1">
      <c r="A4" s="207" t="s">
        <v>215</v>
      </c>
      <c r="B4" s="208">
        <f>B5+B22+B25+B31+B38+B41+B47+B61+B73+B82+B87+B95+B99+B105+B109+B112+B115+B117+B124+B119</f>
        <v>371080</v>
      </c>
      <c r="C4" s="208">
        <f>C5+C22+C25+C31+C38+C41+C47+C61+C73+C82+C87+C95+C99+C105+C109+C112+C115+C117+C124+C119</f>
        <v>96192</v>
      </c>
      <c r="D4" s="208">
        <f t="shared" ref="D4:I4" si="0">D5+D22+D25+D31+D38+D41+D47+D61+D73+D82+D87+D95+D99+D105+D109+D112+D115+D117+D124</f>
        <v>272213</v>
      </c>
      <c r="E4" s="208">
        <f t="shared" si="0"/>
        <v>71293</v>
      </c>
      <c r="F4" s="208">
        <f t="shared" si="0"/>
        <v>54956</v>
      </c>
      <c r="G4" s="208">
        <f t="shared" si="0"/>
        <v>67745</v>
      </c>
      <c r="H4" s="208">
        <f t="shared" si="0"/>
        <v>53970</v>
      </c>
      <c r="I4" s="208">
        <f t="shared" si="0"/>
        <v>24249</v>
      </c>
      <c r="J4" s="204">
        <f>J3-B4</f>
        <v>-15000</v>
      </c>
      <c r="K4" s="204">
        <f>K3-C4</f>
        <v>-15000</v>
      </c>
    </row>
    <row r="5" spans="1:256" customFormat="1" ht="15.95" customHeight="1">
      <c r="A5" s="209" t="s">
        <v>1301</v>
      </c>
      <c r="B5" s="134">
        <f t="shared" ref="B5:B28" si="1">SUM(C5:D5)</f>
        <v>1308</v>
      </c>
      <c r="C5" s="134">
        <f t="shared" ref="C5" si="2">SUM(C6:C21)</f>
        <v>411</v>
      </c>
      <c r="D5" s="134">
        <f t="shared" ref="D5:D28" si="3">SUM(E5:I5)</f>
        <v>897</v>
      </c>
      <c r="E5" s="134">
        <f t="shared" ref="E5:I5" si="4">SUM(E6:E21)</f>
        <v>179</v>
      </c>
      <c r="F5" s="134">
        <f t="shared" si="4"/>
        <v>175</v>
      </c>
      <c r="G5" s="134">
        <f t="shared" si="4"/>
        <v>275</v>
      </c>
      <c r="H5" s="134">
        <f t="shared" si="4"/>
        <v>169</v>
      </c>
      <c r="I5" s="134">
        <f t="shared" si="4"/>
        <v>99</v>
      </c>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c r="IP5" s="205"/>
      <c r="IQ5" s="205"/>
      <c r="IR5" s="205"/>
      <c r="IS5" s="205"/>
      <c r="IT5" s="205"/>
      <c r="IU5" s="205"/>
      <c r="IV5" s="205"/>
    </row>
    <row r="6" spans="1:256" customFormat="1" ht="15.95" customHeight="1">
      <c r="A6" s="210" t="s">
        <v>1302</v>
      </c>
      <c r="B6" s="134">
        <f t="shared" si="1"/>
        <v>20</v>
      </c>
      <c r="C6" s="134"/>
      <c r="D6" s="134">
        <f t="shared" si="3"/>
        <v>20</v>
      </c>
      <c r="E6" s="134"/>
      <c r="F6" s="134">
        <v>20</v>
      </c>
      <c r="G6" s="134"/>
      <c r="H6" s="134"/>
      <c r="I6" s="134"/>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customFormat="1" ht="15.95" customHeight="1">
      <c r="A7" s="210" t="s">
        <v>1303</v>
      </c>
      <c r="B7" s="134">
        <f t="shared" si="1"/>
        <v>30</v>
      </c>
      <c r="C7" s="134"/>
      <c r="D7" s="134">
        <f t="shared" si="3"/>
        <v>30</v>
      </c>
      <c r="E7" s="134">
        <v>5</v>
      </c>
      <c r="F7" s="134">
        <v>10</v>
      </c>
      <c r="G7" s="134">
        <v>5</v>
      </c>
      <c r="H7" s="134">
        <v>10</v>
      </c>
      <c r="I7" s="134"/>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c r="IV7" s="205"/>
    </row>
    <row r="8" spans="1:256" customFormat="1" ht="15.95" customHeight="1">
      <c r="A8" s="210" t="s">
        <v>1304</v>
      </c>
      <c r="B8" s="134">
        <f t="shared" si="1"/>
        <v>49</v>
      </c>
      <c r="C8" s="134"/>
      <c r="D8" s="134">
        <f t="shared" si="3"/>
        <v>49</v>
      </c>
      <c r="E8" s="134">
        <v>2</v>
      </c>
      <c r="F8" s="134"/>
      <c r="G8" s="134">
        <v>32</v>
      </c>
      <c r="H8" s="134">
        <v>15</v>
      </c>
      <c r="I8" s="134"/>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row>
    <row r="9" spans="1:256" customFormat="1" ht="15.95" hidden="1" customHeight="1">
      <c r="A9" s="210" t="s">
        <v>1305</v>
      </c>
      <c r="B9" s="134">
        <f t="shared" si="1"/>
        <v>0</v>
      </c>
      <c r="C9" s="134"/>
      <c r="D9" s="134">
        <f t="shared" si="3"/>
        <v>0</v>
      </c>
      <c r="E9" s="134"/>
      <c r="F9" s="134"/>
      <c r="G9" s="134"/>
      <c r="H9" s="134"/>
      <c r="I9" s="134"/>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row>
    <row r="10" spans="1:256" customFormat="1" ht="15.95" hidden="1" customHeight="1">
      <c r="A10" s="210" t="s">
        <v>1306</v>
      </c>
      <c r="B10" s="134">
        <f t="shared" si="1"/>
        <v>0</v>
      </c>
      <c r="C10" s="134"/>
      <c r="D10" s="134">
        <f t="shared" si="3"/>
        <v>0</v>
      </c>
      <c r="E10" s="134"/>
      <c r="F10" s="134"/>
      <c r="G10" s="134"/>
      <c r="H10" s="134"/>
      <c r="I10" s="134"/>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c r="IP10" s="205"/>
      <c r="IQ10" s="205"/>
      <c r="IR10" s="205"/>
      <c r="IS10" s="205"/>
      <c r="IT10" s="205"/>
      <c r="IU10" s="205"/>
      <c r="IV10" s="205"/>
    </row>
    <row r="11" spans="1:256" customFormat="1" ht="10.5" hidden="1" customHeight="1">
      <c r="A11" s="210" t="s">
        <v>1307</v>
      </c>
      <c r="B11" s="134">
        <f t="shared" si="1"/>
        <v>0</v>
      </c>
      <c r="C11" s="134"/>
      <c r="D11" s="134">
        <f t="shared" si="3"/>
        <v>0</v>
      </c>
      <c r="E11" s="134"/>
      <c r="F11" s="134"/>
      <c r="G11" s="134"/>
      <c r="H11" s="134"/>
      <c r="I11" s="134"/>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c r="IT11" s="205"/>
      <c r="IU11" s="205"/>
      <c r="IV11" s="205"/>
    </row>
    <row r="12" spans="1:256" customFormat="1" ht="15.95" customHeight="1">
      <c r="A12" s="210" t="s">
        <v>1308</v>
      </c>
      <c r="B12" s="134">
        <f t="shared" si="1"/>
        <v>91</v>
      </c>
      <c r="C12" s="134"/>
      <c r="D12" s="134">
        <f t="shared" si="3"/>
        <v>91</v>
      </c>
      <c r="E12" s="134">
        <v>23</v>
      </c>
      <c r="F12" s="134">
        <v>28</v>
      </c>
      <c r="G12" s="134">
        <v>23</v>
      </c>
      <c r="H12" s="134">
        <v>17</v>
      </c>
      <c r="I12" s="134"/>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c r="IP12" s="205"/>
      <c r="IQ12" s="205"/>
      <c r="IR12" s="205"/>
      <c r="IS12" s="205"/>
      <c r="IT12" s="205"/>
      <c r="IU12" s="205"/>
      <c r="IV12" s="205"/>
    </row>
    <row r="13" spans="1:256" customFormat="1" ht="15.95" customHeight="1">
      <c r="A13" s="210" t="s">
        <v>1309</v>
      </c>
      <c r="B13" s="134">
        <f t="shared" si="1"/>
        <v>159</v>
      </c>
      <c r="C13" s="134">
        <v>59</v>
      </c>
      <c r="D13" s="134">
        <f t="shared" si="3"/>
        <v>100</v>
      </c>
      <c r="E13" s="134">
        <v>25</v>
      </c>
      <c r="F13" s="134">
        <v>15</v>
      </c>
      <c r="G13" s="134">
        <v>25</v>
      </c>
      <c r="H13" s="134">
        <v>25</v>
      </c>
      <c r="I13" s="134">
        <v>10</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c r="IN13" s="205"/>
      <c r="IO13" s="205"/>
      <c r="IP13" s="205"/>
      <c r="IQ13" s="205"/>
      <c r="IR13" s="205"/>
      <c r="IS13" s="205"/>
      <c r="IT13" s="205"/>
      <c r="IU13" s="205"/>
      <c r="IV13" s="205"/>
    </row>
    <row r="14" spans="1:256" customFormat="1" ht="15.95" customHeight="1">
      <c r="A14" s="210" t="s">
        <v>1310</v>
      </c>
      <c r="B14" s="134">
        <f t="shared" si="1"/>
        <v>200</v>
      </c>
      <c r="C14" s="134">
        <v>70</v>
      </c>
      <c r="D14" s="134">
        <f t="shared" si="3"/>
        <v>130</v>
      </c>
      <c r="E14" s="134">
        <v>30</v>
      </c>
      <c r="F14" s="134"/>
      <c r="G14" s="134">
        <v>20</v>
      </c>
      <c r="H14" s="134">
        <v>30</v>
      </c>
      <c r="I14" s="134">
        <v>50</v>
      </c>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c r="IN14" s="205"/>
      <c r="IO14" s="205"/>
      <c r="IP14" s="205"/>
      <c r="IQ14" s="205"/>
      <c r="IR14" s="205"/>
      <c r="IS14" s="205"/>
      <c r="IT14" s="205"/>
      <c r="IU14" s="205"/>
      <c r="IV14" s="205"/>
    </row>
    <row r="15" spans="1:256" customFormat="1" ht="15.95" customHeight="1">
      <c r="A15" s="210" t="s">
        <v>1311</v>
      </c>
      <c r="B15" s="134">
        <f t="shared" si="1"/>
        <v>71</v>
      </c>
      <c r="C15" s="134">
        <v>21</v>
      </c>
      <c r="D15" s="134">
        <f t="shared" si="3"/>
        <v>50</v>
      </c>
      <c r="E15" s="134">
        <v>10</v>
      </c>
      <c r="F15" s="134">
        <v>10</v>
      </c>
      <c r="G15" s="134">
        <v>10</v>
      </c>
      <c r="H15" s="134">
        <v>5</v>
      </c>
      <c r="I15" s="134">
        <v>15</v>
      </c>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c r="IN15" s="205"/>
      <c r="IO15" s="205"/>
      <c r="IP15" s="205"/>
      <c r="IQ15" s="205"/>
      <c r="IR15" s="205"/>
      <c r="IS15" s="205"/>
      <c r="IT15" s="205"/>
      <c r="IU15" s="205"/>
      <c r="IV15" s="205"/>
    </row>
    <row r="16" spans="1:256" customFormat="1" ht="15.95" hidden="1" customHeight="1">
      <c r="A16" s="210" t="s">
        <v>1312</v>
      </c>
      <c r="B16" s="134">
        <f t="shared" si="1"/>
        <v>0</v>
      </c>
      <c r="C16" s="134"/>
      <c r="D16" s="134">
        <f t="shared" si="3"/>
        <v>0</v>
      </c>
      <c r="E16" s="134"/>
      <c r="F16" s="134"/>
      <c r="G16" s="134"/>
      <c r="H16" s="134"/>
      <c r="I16" s="134"/>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c r="IN16" s="205"/>
      <c r="IO16" s="205"/>
      <c r="IP16" s="205"/>
      <c r="IQ16" s="205"/>
      <c r="IR16" s="205"/>
      <c r="IS16" s="205"/>
      <c r="IT16" s="205"/>
      <c r="IU16" s="205"/>
      <c r="IV16" s="205"/>
    </row>
    <row r="17" spans="1:256" customFormat="1" ht="15.95" customHeight="1">
      <c r="A17" s="210" t="s">
        <v>1313</v>
      </c>
      <c r="B17" s="134">
        <f t="shared" si="1"/>
        <v>10</v>
      </c>
      <c r="C17" s="134"/>
      <c r="D17" s="134">
        <f t="shared" si="3"/>
        <v>10</v>
      </c>
      <c r="E17" s="134"/>
      <c r="F17" s="134"/>
      <c r="G17" s="134">
        <v>10</v>
      </c>
      <c r="H17" s="134"/>
      <c r="I17" s="134"/>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row>
    <row r="18" spans="1:256" customFormat="1" ht="15.95" customHeight="1">
      <c r="A18" s="210" t="s">
        <v>1314</v>
      </c>
      <c r="B18" s="134">
        <f t="shared" si="1"/>
        <v>120</v>
      </c>
      <c r="C18" s="134">
        <v>22</v>
      </c>
      <c r="D18" s="134">
        <f t="shared" si="3"/>
        <v>98</v>
      </c>
      <c r="E18" s="134">
        <v>20</v>
      </c>
      <c r="F18" s="134">
        <v>18</v>
      </c>
      <c r="G18" s="134">
        <v>26</v>
      </c>
      <c r="H18" s="134">
        <v>28</v>
      </c>
      <c r="I18" s="134">
        <v>6</v>
      </c>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row>
    <row r="19" spans="1:256" customFormat="1" ht="15.95" customHeight="1">
      <c r="A19" s="210" t="s">
        <v>1315</v>
      </c>
      <c r="B19" s="134">
        <f t="shared" si="1"/>
        <v>119</v>
      </c>
      <c r="C19" s="134"/>
      <c r="D19" s="134">
        <f t="shared" si="3"/>
        <v>119</v>
      </c>
      <c r="E19" s="134">
        <v>43</v>
      </c>
      <c r="F19" s="134">
        <v>9</v>
      </c>
      <c r="G19" s="134">
        <v>60</v>
      </c>
      <c r="H19" s="134">
        <v>7</v>
      </c>
      <c r="I19" s="134"/>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c r="IN19" s="205"/>
      <c r="IO19" s="205"/>
      <c r="IP19" s="205"/>
      <c r="IQ19" s="205"/>
      <c r="IR19" s="205"/>
      <c r="IS19" s="205"/>
      <c r="IT19" s="205"/>
      <c r="IU19" s="205"/>
      <c r="IV19" s="205"/>
    </row>
    <row r="20" spans="1:256" customFormat="1" ht="15.95" customHeight="1">
      <c r="A20" s="210" t="s">
        <v>1316</v>
      </c>
      <c r="B20" s="134">
        <f t="shared" si="1"/>
        <v>329</v>
      </c>
      <c r="C20" s="134">
        <v>179</v>
      </c>
      <c r="D20" s="134">
        <f t="shared" si="3"/>
        <v>150</v>
      </c>
      <c r="E20" s="134">
        <v>21</v>
      </c>
      <c r="F20" s="134">
        <v>65</v>
      </c>
      <c r="G20" s="134">
        <v>14</v>
      </c>
      <c r="H20" s="134">
        <v>32</v>
      </c>
      <c r="I20" s="134">
        <v>18</v>
      </c>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c r="IN20" s="205"/>
      <c r="IO20" s="205"/>
      <c r="IP20" s="205"/>
      <c r="IQ20" s="205"/>
      <c r="IR20" s="205"/>
      <c r="IS20" s="205"/>
      <c r="IT20" s="205"/>
      <c r="IU20" s="205"/>
      <c r="IV20" s="205"/>
    </row>
    <row r="21" spans="1:256" customFormat="1" ht="15.95" customHeight="1">
      <c r="A21" s="210" t="s">
        <v>1317</v>
      </c>
      <c r="B21" s="134">
        <f t="shared" si="1"/>
        <v>110</v>
      </c>
      <c r="C21" s="134">
        <v>60</v>
      </c>
      <c r="D21" s="134">
        <f t="shared" si="3"/>
        <v>50</v>
      </c>
      <c r="E21" s="134"/>
      <c r="F21" s="134"/>
      <c r="G21" s="134">
        <v>50</v>
      </c>
      <c r="H21" s="134"/>
      <c r="I21" s="134"/>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c r="IN21" s="205"/>
      <c r="IO21" s="205"/>
      <c r="IP21" s="205"/>
      <c r="IQ21" s="205"/>
      <c r="IR21" s="205"/>
      <c r="IS21" s="205"/>
      <c r="IT21" s="205"/>
      <c r="IU21" s="205"/>
      <c r="IV21" s="205"/>
    </row>
    <row r="22" spans="1:256" customFormat="1" ht="15.95" customHeight="1">
      <c r="A22" s="209" t="s">
        <v>1318</v>
      </c>
      <c r="B22" s="134">
        <f t="shared" si="1"/>
        <v>0</v>
      </c>
      <c r="C22" s="134">
        <f t="shared" ref="C22" si="5">SUM(C23:C24)</f>
        <v>0</v>
      </c>
      <c r="D22" s="134">
        <f t="shared" si="3"/>
        <v>0</v>
      </c>
      <c r="E22" s="134">
        <f t="shared" ref="E22:I22" si="6">SUM(E23:E24)</f>
        <v>0</v>
      </c>
      <c r="F22" s="134">
        <f t="shared" si="6"/>
        <v>0</v>
      </c>
      <c r="G22" s="134">
        <f t="shared" si="6"/>
        <v>0</v>
      </c>
      <c r="H22" s="134">
        <f t="shared" si="6"/>
        <v>0</v>
      </c>
      <c r="I22" s="134">
        <f t="shared" si="6"/>
        <v>0</v>
      </c>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row>
    <row r="23" spans="1:256" customFormat="1" ht="15.95" hidden="1" customHeight="1">
      <c r="A23" s="210" t="s">
        <v>1319</v>
      </c>
      <c r="B23" s="134">
        <f t="shared" si="1"/>
        <v>0</v>
      </c>
      <c r="C23" s="134"/>
      <c r="D23" s="134">
        <f t="shared" si="3"/>
        <v>0</v>
      </c>
      <c r="E23" s="134"/>
      <c r="F23" s="134"/>
      <c r="G23" s="134"/>
      <c r="H23" s="134"/>
      <c r="I23" s="134"/>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row>
    <row r="24" spans="1:256" customFormat="1" ht="15.95" hidden="1" customHeight="1">
      <c r="A24" s="210" t="s">
        <v>1320</v>
      </c>
      <c r="B24" s="134">
        <f t="shared" si="1"/>
        <v>0</v>
      </c>
      <c r="C24" s="134"/>
      <c r="D24" s="134">
        <f t="shared" si="3"/>
        <v>0</v>
      </c>
      <c r="E24" s="134"/>
      <c r="F24" s="134"/>
      <c r="G24" s="134"/>
      <c r="H24" s="134"/>
      <c r="I24" s="134"/>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c r="GB24" s="205"/>
      <c r="GC24" s="205"/>
      <c r="GD24" s="205"/>
      <c r="GE24" s="205"/>
      <c r="GF24" s="205"/>
      <c r="GG24" s="205"/>
      <c r="GH24" s="205"/>
      <c r="GI24" s="205"/>
      <c r="GJ24" s="205"/>
      <c r="GK24" s="205"/>
      <c r="GL24" s="205"/>
      <c r="GM24" s="205"/>
      <c r="GN24" s="205"/>
      <c r="GO24" s="205"/>
      <c r="GP24" s="205"/>
      <c r="GQ24" s="205"/>
      <c r="GR24" s="205"/>
      <c r="GS24" s="205"/>
      <c r="GT24" s="205"/>
      <c r="GU24" s="205"/>
      <c r="GV24" s="205"/>
      <c r="GW24" s="205"/>
      <c r="GX24" s="205"/>
      <c r="GY24" s="205"/>
      <c r="GZ24" s="205"/>
      <c r="HA24" s="205"/>
      <c r="HB24" s="205"/>
      <c r="HC24" s="205"/>
      <c r="HD24" s="205"/>
      <c r="HE24" s="205"/>
      <c r="HF24" s="205"/>
      <c r="HG24" s="205"/>
      <c r="HH24" s="205"/>
      <c r="HI24" s="205"/>
      <c r="HJ24" s="205"/>
      <c r="HK24" s="205"/>
      <c r="HL24" s="205"/>
      <c r="HM24" s="205"/>
      <c r="HN24" s="205"/>
      <c r="HO24" s="205"/>
      <c r="HP24" s="205"/>
      <c r="HQ24" s="205"/>
      <c r="HR24" s="205"/>
      <c r="HS24" s="205"/>
      <c r="HT24" s="205"/>
      <c r="HU24" s="205"/>
      <c r="HV24" s="205"/>
      <c r="HW24" s="205"/>
      <c r="HX24" s="205"/>
      <c r="HY24" s="205"/>
      <c r="HZ24" s="205"/>
      <c r="IA24" s="205"/>
      <c r="IB24" s="205"/>
      <c r="IC24" s="205"/>
      <c r="ID24" s="205"/>
      <c r="IE24" s="205"/>
      <c r="IF24" s="205"/>
      <c r="IG24" s="205"/>
      <c r="IH24" s="205"/>
      <c r="II24" s="205"/>
      <c r="IJ24" s="205"/>
      <c r="IK24" s="205"/>
      <c r="IL24" s="205"/>
      <c r="IM24" s="205"/>
      <c r="IN24" s="205"/>
      <c r="IO24" s="205"/>
      <c r="IP24" s="205"/>
      <c r="IQ24" s="205"/>
      <c r="IR24" s="205"/>
      <c r="IS24" s="205"/>
      <c r="IT24" s="205"/>
      <c r="IU24" s="205"/>
      <c r="IV24" s="205"/>
    </row>
    <row r="25" spans="1:256" customFormat="1" ht="15.95" customHeight="1">
      <c r="A25" s="209" t="s">
        <v>1321</v>
      </c>
      <c r="B25" s="134">
        <f t="shared" si="1"/>
        <v>13055</v>
      </c>
      <c r="C25" s="134">
        <f t="shared" ref="C25" si="7">SUM(C26:C30)</f>
        <v>6231</v>
      </c>
      <c r="D25" s="134">
        <f t="shared" si="3"/>
        <v>6824</v>
      </c>
      <c r="E25" s="134">
        <f t="shared" ref="E25:I25" si="8">SUM(E26:E30)</f>
        <v>1266</v>
      </c>
      <c r="F25" s="134">
        <f t="shared" si="8"/>
        <v>1420</v>
      </c>
      <c r="G25" s="134">
        <f t="shared" si="8"/>
        <v>811</v>
      </c>
      <c r="H25" s="134">
        <f t="shared" si="8"/>
        <v>1661</v>
      </c>
      <c r="I25" s="134">
        <f t="shared" si="8"/>
        <v>1666</v>
      </c>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c r="EK25" s="205"/>
      <c r="EL25" s="205"/>
      <c r="EM25" s="205"/>
      <c r="EN25" s="205"/>
      <c r="EO25" s="205"/>
      <c r="EP25" s="205"/>
      <c r="EQ25" s="205"/>
      <c r="ER25" s="205"/>
      <c r="ES25" s="205"/>
      <c r="ET25" s="205"/>
      <c r="EU25" s="205"/>
      <c r="EV25" s="205"/>
      <c r="EW25" s="205"/>
      <c r="EX25" s="205"/>
      <c r="EY25" s="205"/>
      <c r="EZ25" s="205"/>
      <c r="FA25" s="205"/>
      <c r="FB25" s="205"/>
      <c r="FC25" s="205"/>
      <c r="FD25" s="205"/>
      <c r="FE25" s="205"/>
      <c r="FF25" s="205"/>
      <c r="FG25" s="205"/>
      <c r="FH25" s="205"/>
      <c r="FI25" s="205"/>
      <c r="FJ25" s="205"/>
      <c r="FK25" s="205"/>
      <c r="FL25" s="205"/>
      <c r="FM25" s="205"/>
      <c r="FN25" s="205"/>
      <c r="FO25" s="205"/>
      <c r="FP25" s="205"/>
      <c r="FQ25" s="205"/>
      <c r="FR25" s="205"/>
      <c r="FS25" s="205"/>
      <c r="FT25" s="205"/>
      <c r="FU25" s="205"/>
      <c r="FV25" s="205"/>
      <c r="FW25" s="205"/>
      <c r="FX25" s="205"/>
      <c r="FY25" s="205"/>
      <c r="FZ25" s="205"/>
      <c r="GA25" s="205"/>
      <c r="GB25" s="205"/>
      <c r="GC25" s="205"/>
      <c r="GD25" s="205"/>
      <c r="GE25" s="205"/>
      <c r="GF25" s="205"/>
      <c r="GG25" s="205"/>
      <c r="GH25" s="205"/>
      <c r="GI25" s="205"/>
      <c r="GJ25" s="205"/>
      <c r="GK25" s="205"/>
      <c r="GL25" s="205"/>
      <c r="GM25" s="205"/>
      <c r="GN25" s="205"/>
      <c r="GO25" s="205"/>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205"/>
      <c r="HX25" s="205"/>
      <c r="HY25" s="205"/>
      <c r="HZ25" s="205"/>
      <c r="IA25" s="205"/>
      <c r="IB25" s="205"/>
      <c r="IC25" s="205"/>
      <c r="ID25" s="205"/>
      <c r="IE25" s="205"/>
      <c r="IF25" s="205"/>
      <c r="IG25" s="205"/>
      <c r="IH25" s="205"/>
      <c r="II25" s="205"/>
      <c r="IJ25" s="205"/>
      <c r="IK25" s="205"/>
      <c r="IL25" s="205"/>
      <c r="IM25" s="205"/>
      <c r="IN25" s="205"/>
      <c r="IO25" s="205"/>
      <c r="IP25" s="205"/>
      <c r="IQ25" s="205"/>
      <c r="IR25" s="205"/>
      <c r="IS25" s="205"/>
      <c r="IT25" s="205"/>
      <c r="IU25" s="205"/>
      <c r="IV25" s="205"/>
    </row>
    <row r="26" spans="1:256" customFormat="1" ht="15.95" customHeight="1">
      <c r="A26" s="210" t="s">
        <v>1322</v>
      </c>
      <c r="B26" s="134">
        <f t="shared" si="1"/>
        <v>5133</v>
      </c>
      <c r="C26" s="134">
        <f>2149-500+245</f>
        <v>1894</v>
      </c>
      <c r="D26" s="134">
        <f t="shared" si="3"/>
        <v>3239</v>
      </c>
      <c r="E26" s="134">
        <v>1141</v>
      </c>
      <c r="F26" s="134">
        <v>500</v>
      </c>
      <c r="G26" s="134">
        <v>704</v>
      </c>
      <c r="H26" s="134">
        <v>706</v>
      </c>
      <c r="I26" s="134">
        <v>188</v>
      </c>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c r="EK26" s="205"/>
      <c r="EL26" s="205"/>
      <c r="EM26" s="205"/>
      <c r="EN26" s="205"/>
      <c r="EO26" s="205"/>
      <c r="EP26" s="205"/>
      <c r="EQ26" s="205"/>
      <c r="ER26" s="205"/>
      <c r="ES26" s="205"/>
      <c r="ET26" s="205"/>
      <c r="EU26" s="205"/>
      <c r="EV26" s="205"/>
      <c r="EW26" s="205"/>
      <c r="EX26" s="205"/>
      <c r="EY26" s="205"/>
      <c r="EZ26" s="205"/>
      <c r="FA26" s="205"/>
      <c r="FB26" s="205"/>
      <c r="FC26" s="205"/>
      <c r="FD26" s="205"/>
      <c r="FE26" s="205"/>
      <c r="FF26" s="205"/>
      <c r="FG26" s="205"/>
      <c r="FH26" s="205"/>
      <c r="FI26" s="205"/>
      <c r="FJ26" s="205"/>
      <c r="FK26" s="205"/>
      <c r="FL26" s="205"/>
      <c r="FM26" s="205"/>
      <c r="FN26" s="205"/>
      <c r="FO26" s="205"/>
      <c r="FP26" s="205"/>
      <c r="FQ26" s="205"/>
      <c r="FR26" s="205"/>
      <c r="FS26" s="205"/>
      <c r="FT26" s="205"/>
      <c r="FU26" s="205"/>
      <c r="FV26" s="205"/>
      <c r="FW26" s="205"/>
      <c r="FX26" s="205"/>
      <c r="FY26" s="205"/>
      <c r="FZ26" s="205"/>
      <c r="GA26" s="205"/>
      <c r="GB26" s="205"/>
      <c r="GC26" s="205"/>
      <c r="GD26" s="205"/>
      <c r="GE26" s="205"/>
      <c r="GF26" s="205"/>
      <c r="GG26" s="205"/>
      <c r="GH26" s="205"/>
      <c r="GI26" s="205"/>
      <c r="GJ26" s="205"/>
      <c r="GK26" s="205"/>
      <c r="GL26" s="205"/>
      <c r="GM26" s="205"/>
      <c r="GN26" s="205"/>
      <c r="GO26" s="205"/>
      <c r="GP26" s="205"/>
      <c r="GQ26" s="205"/>
      <c r="GR26" s="205"/>
      <c r="GS26" s="205"/>
      <c r="GT26" s="205"/>
      <c r="GU26" s="205"/>
      <c r="GV26" s="205"/>
      <c r="GW26" s="205"/>
      <c r="GX26" s="205"/>
      <c r="GY26" s="205"/>
      <c r="GZ26" s="205"/>
      <c r="HA26" s="205"/>
      <c r="HB26" s="205"/>
      <c r="HC26" s="205"/>
      <c r="HD26" s="205"/>
      <c r="HE26" s="205"/>
      <c r="HF26" s="205"/>
      <c r="HG26" s="205"/>
      <c r="HH26" s="205"/>
      <c r="HI26" s="205"/>
      <c r="HJ26" s="205"/>
      <c r="HK26" s="205"/>
      <c r="HL26" s="205"/>
      <c r="HM26" s="205"/>
      <c r="HN26" s="205"/>
      <c r="HO26" s="205"/>
      <c r="HP26" s="205"/>
      <c r="HQ26" s="205"/>
      <c r="HR26" s="205"/>
      <c r="HS26" s="205"/>
      <c r="HT26" s="205"/>
      <c r="HU26" s="205"/>
      <c r="HV26" s="205"/>
      <c r="HW26" s="205"/>
      <c r="HX26" s="205"/>
      <c r="HY26" s="205"/>
      <c r="HZ26" s="205"/>
      <c r="IA26" s="205"/>
      <c r="IB26" s="205"/>
      <c r="IC26" s="205"/>
      <c r="ID26" s="205"/>
      <c r="IE26" s="205"/>
      <c r="IF26" s="205"/>
      <c r="IG26" s="205"/>
      <c r="IH26" s="205"/>
      <c r="II26" s="205"/>
      <c r="IJ26" s="205"/>
      <c r="IK26" s="205"/>
      <c r="IL26" s="205"/>
      <c r="IM26" s="205"/>
      <c r="IN26" s="205"/>
      <c r="IO26" s="205"/>
      <c r="IP26" s="205"/>
      <c r="IQ26" s="205"/>
      <c r="IR26" s="205"/>
      <c r="IS26" s="205"/>
      <c r="IT26" s="205"/>
      <c r="IU26" s="205"/>
      <c r="IV26" s="205"/>
    </row>
    <row r="27" spans="1:256" customFormat="1" ht="15.95" customHeight="1">
      <c r="A27" s="210" t="s">
        <v>1323</v>
      </c>
      <c r="B27" s="134">
        <f t="shared" si="1"/>
        <v>1224</v>
      </c>
      <c r="C27" s="134">
        <v>1224</v>
      </c>
      <c r="D27" s="134">
        <f t="shared" si="3"/>
        <v>0</v>
      </c>
      <c r="E27" s="134"/>
      <c r="F27" s="134"/>
      <c r="G27" s="134"/>
      <c r="H27" s="134"/>
      <c r="I27" s="134"/>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5"/>
      <c r="GM27" s="205"/>
      <c r="GN27" s="205"/>
      <c r="GO27" s="205"/>
      <c r="GP27" s="205"/>
      <c r="GQ27" s="205"/>
      <c r="GR27" s="205"/>
      <c r="GS27" s="205"/>
      <c r="GT27" s="205"/>
      <c r="GU27" s="205"/>
      <c r="GV27" s="205"/>
      <c r="GW27" s="205"/>
      <c r="GX27" s="205"/>
      <c r="GY27" s="205"/>
      <c r="GZ27" s="205"/>
      <c r="HA27" s="205"/>
      <c r="HB27" s="205"/>
      <c r="HC27" s="205"/>
      <c r="HD27" s="205"/>
      <c r="HE27" s="205"/>
      <c r="HF27" s="205"/>
      <c r="HG27" s="205"/>
      <c r="HH27" s="205"/>
      <c r="HI27" s="205"/>
      <c r="HJ27" s="205"/>
      <c r="HK27" s="205"/>
      <c r="HL27" s="205"/>
      <c r="HM27" s="205"/>
      <c r="HN27" s="205"/>
      <c r="HO27" s="205"/>
      <c r="HP27" s="205"/>
      <c r="HQ27" s="205"/>
      <c r="HR27" s="205"/>
      <c r="HS27" s="205"/>
      <c r="HT27" s="205"/>
      <c r="HU27" s="205"/>
      <c r="HV27" s="205"/>
      <c r="HW27" s="205"/>
      <c r="HX27" s="205"/>
      <c r="HY27" s="205"/>
      <c r="HZ27" s="205"/>
      <c r="IA27" s="205"/>
      <c r="IB27" s="205"/>
      <c r="IC27" s="205"/>
      <c r="ID27" s="205"/>
      <c r="IE27" s="205"/>
      <c r="IF27" s="205"/>
      <c r="IG27" s="205"/>
      <c r="IH27" s="205"/>
      <c r="II27" s="205"/>
      <c r="IJ27" s="205"/>
      <c r="IK27" s="205"/>
      <c r="IL27" s="205"/>
      <c r="IM27" s="205"/>
      <c r="IN27" s="205"/>
      <c r="IO27" s="205"/>
      <c r="IP27" s="205"/>
      <c r="IQ27" s="205"/>
      <c r="IR27" s="205"/>
      <c r="IS27" s="205"/>
      <c r="IT27" s="205"/>
      <c r="IU27" s="205"/>
      <c r="IV27" s="205"/>
    </row>
    <row r="28" spans="1:256" customFormat="1" ht="15.95" customHeight="1">
      <c r="A28" s="210" t="s">
        <v>1324</v>
      </c>
      <c r="B28" s="134">
        <f t="shared" si="1"/>
        <v>1811</v>
      </c>
      <c r="C28" s="134">
        <v>1811</v>
      </c>
      <c r="D28" s="134">
        <f t="shared" si="3"/>
        <v>0</v>
      </c>
      <c r="E28" s="134"/>
      <c r="F28" s="134"/>
      <c r="G28" s="134"/>
      <c r="H28" s="134"/>
      <c r="I28" s="134"/>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c r="IN28" s="205"/>
      <c r="IO28" s="205"/>
      <c r="IP28" s="205"/>
      <c r="IQ28" s="205"/>
      <c r="IR28" s="205"/>
      <c r="IS28" s="205"/>
      <c r="IT28" s="205"/>
      <c r="IU28" s="205"/>
      <c r="IV28" s="205"/>
    </row>
    <row r="29" spans="1:256" customFormat="1" ht="15.95" customHeight="1">
      <c r="A29" s="210" t="s">
        <v>1325</v>
      </c>
      <c r="B29" s="134">
        <f t="shared" ref="B29:B92" si="9">SUM(C29:D29)</f>
        <v>634</v>
      </c>
      <c r="C29" s="134">
        <v>224</v>
      </c>
      <c r="D29" s="134">
        <f t="shared" ref="D29:D92" si="10">SUM(E29:I29)</f>
        <v>410</v>
      </c>
      <c r="E29" s="134">
        <v>121</v>
      </c>
      <c r="F29" s="134">
        <v>86</v>
      </c>
      <c r="G29" s="134">
        <v>103</v>
      </c>
      <c r="H29" s="134">
        <v>100</v>
      </c>
      <c r="I29" s="134"/>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c r="IN29" s="205"/>
      <c r="IO29" s="205"/>
      <c r="IP29" s="205"/>
      <c r="IQ29" s="205"/>
      <c r="IR29" s="205"/>
      <c r="IS29" s="205"/>
      <c r="IT29" s="205"/>
      <c r="IU29" s="205"/>
      <c r="IV29" s="205"/>
    </row>
    <row r="30" spans="1:256" customFormat="1" ht="15.95" customHeight="1">
      <c r="A30" s="210" t="s">
        <v>1326</v>
      </c>
      <c r="B30" s="134">
        <f t="shared" si="9"/>
        <v>4253</v>
      </c>
      <c r="C30" s="134">
        <v>1078</v>
      </c>
      <c r="D30" s="134">
        <f t="shared" si="10"/>
        <v>3175</v>
      </c>
      <c r="E30" s="134">
        <v>4</v>
      </c>
      <c r="F30" s="134">
        <v>834</v>
      </c>
      <c r="G30" s="134">
        <v>4</v>
      </c>
      <c r="H30" s="134">
        <v>855</v>
      </c>
      <c r="I30" s="134">
        <v>1478</v>
      </c>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c r="GF30" s="205"/>
      <c r="GG30" s="205"/>
      <c r="GH30" s="205"/>
      <c r="GI30" s="205"/>
      <c r="GJ30" s="205"/>
      <c r="GK30" s="205"/>
      <c r="GL30" s="205"/>
      <c r="GM30" s="205"/>
      <c r="GN30" s="205"/>
      <c r="GO30" s="205"/>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c r="IN30" s="205"/>
      <c r="IO30" s="205"/>
      <c r="IP30" s="205"/>
      <c r="IQ30" s="205"/>
      <c r="IR30" s="205"/>
      <c r="IS30" s="205"/>
      <c r="IT30" s="205"/>
      <c r="IU30" s="205"/>
      <c r="IV30" s="205"/>
    </row>
    <row r="31" spans="1:256" customFormat="1" ht="15.95" customHeight="1">
      <c r="A31" s="209" t="s">
        <v>1327</v>
      </c>
      <c r="B31" s="134">
        <f t="shared" si="9"/>
        <v>33095</v>
      </c>
      <c r="C31" s="134">
        <f t="shared" ref="C31" si="11">SUM(C32:C37)</f>
        <v>6670</v>
      </c>
      <c r="D31" s="134">
        <f t="shared" si="10"/>
        <v>26425</v>
      </c>
      <c r="E31" s="134">
        <f t="shared" ref="E31:I31" si="12">SUM(E32:E37)</f>
        <v>6336</v>
      </c>
      <c r="F31" s="134">
        <f t="shared" si="12"/>
        <v>4174</v>
      </c>
      <c r="G31" s="134">
        <f t="shared" si="12"/>
        <v>4240</v>
      </c>
      <c r="H31" s="134">
        <f t="shared" si="12"/>
        <v>4283</v>
      </c>
      <c r="I31" s="134">
        <f t="shared" si="12"/>
        <v>7392</v>
      </c>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c r="GF31" s="205"/>
      <c r="GG31" s="205"/>
      <c r="GH31" s="205"/>
      <c r="GI31" s="205"/>
      <c r="GJ31" s="205"/>
      <c r="GK31" s="205"/>
      <c r="GL31" s="205"/>
      <c r="GM31" s="205"/>
      <c r="GN31" s="205"/>
      <c r="GO31" s="205"/>
      <c r="GP31" s="205"/>
      <c r="GQ31" s="205"/>
      <c r="GR31" s="205"/>
      <c r="GS31" s="205"/>
      <c r="GT31" s="205"/>
      <c r="GU31" s="205"/>
      <c r="GV31" s="205"/>
      <c r="GW31" s="205"/>
      <c r="GX31" s="205"/>
      <c r="GY31" s="205"/>
      <c r="GZ31" s="205"/>
      <c r="HA31" s="205"/>
      <c r="HB31" s="205"/>
      <c r="HC31" s="205"/>
      <c r="HD31" s="205"/>
      <c r="HE31" s="205"/>
      <c r="HF31" s="205"/>
      <c r="HG31" s="205"/>
      <c r="HH31" s="205"/>
      <c r="HI31" s="205"/>
      <c r="HJ31" s="205"/>
      <c r="HK31" s="205"/>
      <c r="HL31" s="205"/>
      <c r="HM31" s="205"/>
      <c r="HN31" s="205"/>
      <c r="HO31" s="205"/>
      <c r="HP31" s="205"/>
      <c r="HQ31" s="205"/>
      <c r="HR31" s="205"/>
      <c r="HS31" s="205"/>
      <c r="HT31" s="205"/>
      <c r="HU31" s="205"/>
      <c r="HV31" s="205"/>
      <c r="HW31" s="205"/>
      <c r="HX31" s="205"/>
      <c r="HY31" s="205"/>
      <c r="HZ31" s="205"/>
      <c r="IA31" s="205"/>
      <c r="IB31" s="205"/>
      <c r="IC31" s="205"/>
      <c r="ID31" s="205"/>
      <c r="IE31" s="205"/>
      <c r="IF31" s="205"/>
      <c r="IG31" s="205"/>
      <c r="IH31" s="205"/>
      <c r="II31" s="205"/>
      <c r="IJ31" s="205"/>
      <c r="IK31" s="205"/>
      <c r="IL31" s="205"/>
      <c r="IM31" s="205"/>
      <c r="IN31" s="205"/>
      <c r="IO31" s="205"/>
      <c r="IP31" s="205"/>
      <c r="IQ31" s="205"/>
      <c r="IR31" s="205"/>
      <c r="IS31" s="205"/>
      <c r="IT31" s="205"/>
      <c r="IU31" s="205"/>
      <c r="IV31" s="205"/>
    </row>
    <row r="32" spans="1:256" customFormat="1" ht="15.95" customHeight="1">
      <c r="A32" s="210" t="s">
        <v>1328</v>
      </c>
      <c r="B32" s="134">
        <f t="shared" si="9"/>
        <v>26166</v>
      </c>
      <c r="C32" s="134">
        <v>2401</v>
      </c>
      <c r="D32" s="134">
        <f t="shared" si="10"/>
        <v>23765</v>
      </c>
      <c r="E32" s="134">
        <v>5286</v>
      </c>
      <c r="F32" s="134">
        <f>613+2632</f>
        <v>3245</v>
      </c>
      <c r="G32" s="134">
        <v>3675</v>
      </c>
      <c r="H32" s="134">
        <v>4207</v>
      </c>
      <c r="I32" s="134">
        <v>7352</v>
      </c>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5"/>
      <c r="HG32" s="205"/>
      <c r="HH32" s="205"/>
      <c r="HI32" s="205"/>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5"/>
      <c r="IK32" s="205"/>
      <c r="IL32" s="205"/>
      <c r="IM32" s="205"/>
      <c r="IN32" s="205"/>
      <c r="IO32" s="205"/>
      <c r="IP32" s="205"/>
      <c r="IQ32" s="205"/>
      <c r="IR32" s="205"/>
      <c r="IS32" s="205"/>
      <c r="IT32" s="205"/>
      <c r="IU32" s="205"/>
      <c r="IV32" s="205"/>
    </row>
    <row r="33" spans="1:256" customFormat="1" ht="15.95" customHeight="1">
      <c r="A33" s="210" t="s">
        <v>1329</v>
      </c>
      <c r="B33" s="134">
        <f t="shared" si="9"/>
        <v>2866</v>
      </c>
      <c r="C33" s="134">
        <v>1831</v>
      </c>
      <c r="D33" s="134">
        <f t="shared" si="10"/>
        <v>1035</v>
      </c>
      <c r="E33" s="134">
        <v>525</v>
      </c>
      <c r="F33" s="134">
        <v>5</v>
      </c>
      <c r="G33" s="134">
        <v>505</v>
      </c>
      <c r="H33" s="134"/>
      <c r="I33" s="134"/>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c r="DT33" s="205"/>
      <c r="DU33" s="205"/>
      <c r="DV33" s="205"/>
      <c r="DW33" s="205"/>
      <c r="DX33" s="205"/>
      <c r="DY33" s="205"/>
      <c r="DZ33" s="205"/>
      <c r="EA33" s="205"/>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5"/>
      <c r="EX33" s="205"/>
      <c r="EY33" s="205"/>
      <c r="EZ33" s="205"/>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5"/>
      <c r="FY33" s="205"/>
      <c r="FZ33" s="205"/>
      <c r="GA33" s="205"/>
      <c r="GB33" s="205"/>
      <c r="GC33" s="205"/>
      <c r="GD33" s="205"/>
      <c r="GE33" s="205"/>
      <c r="GF33" s="205"/>
      <c r="GG33" s="205"/>
      <c r="GH33" s="205"/>
      <c r="GI33" s="205"/>
      <c r="GJ33" s="205"/>
      <c r="GK33" s="205"/>
      <c r="GL33" s="205"/>
      <c r="GM33" s="205"/>
      <c r="GN33" s="205"/>
      <c r="GO33" s="205"/>
      <c r="GP33" s="205"/>
      <c r="GQ33" s="205"/>
      <c r="GR33" s="205"/>
      <c r="GS33" s="205"/>
      <c r="GT33" s="205"/>
      <c r="GU33" s="205"/>
      <c r="GV33" s="205"/>
      <c r="GW33" s="205"/>
      <c r="GX33" s="205"/>
      <c r="GY33" s="205"/>
      <c r="GZ33" s="205"/>
      <c r="HA33" s="205"/>
      <c r="HB33" s="205"/>
      <c r="HC33" s="205"/>
      <c r="HD33" s="205"/>
      <c r="HE33" s="205"/>
      <c r="HF33" s="205"/>
      <c r="HG33" s="205"/>
      <c r="HH33" s="205"/>
      <c r="HI33" s="205"/>
      <c r="HJ33" s="205"/>
      <c r="HK33" s="205"/>
      <c r="HL33" s="205"/>
      <c r="HM33" s="205"/>
      <c r="HN33" s="205"/>
      <c r="HO33" s="205"/>
      <c r="HP33" s="205"/>
      <c r="HQ33" s="205"/>
      <c r="HR33" s="205"/>
      <c r="HS33" s="205"/>
      <c r="HT33" s="205"/>
      <c r="HU33" s="205"/>
      <c r="HV33" s="205"/>
      <c r="HW33" s="205"/>
      <c r="HX33" s="205"/>
      <c r="HY33" s="205"/>
      <c r="HZ33" s="205"/>
      <c r="IA33" s="205"/>
      <c r="IB33" s="205"/>
      <c r="IC33" s="205"/>
      <c r="ID33" s="205"/>
      <c r="IE33" s="205"/>
      <c r="IF33" s="205"/>
      <c r="IG33" s="205"/>
      <c r="IH33" s="205"/>
      <c r="II33" s="205"/>
      <c r="IJ33" s="205"/>
      <c r="IK33" s="205"/>
      <c r="IL33" s="205"/>
      <c r="IM33" s="205"/>
      <c r="IN33" s="205"/>
      <c r="IO33" s="205"/>
      <c r="IP33" s="205"/>
      <c r="IQ33" s="205"/>
      <c r="IR33" s="205"/>
      <c r="IS33" s="205"/>
      <c r="IT33" s="205"/>
      <c r="IU33" s="205"/>
      <c r="IV33" s="205"/>
    </row>
    <row r="34" spans="1:256" customFormat="1" ht="15.95" customHeight="1">
      <c r="A34" s="210" t="s">
        <v>1330</v>
      </c>
      <c r="B34" s="134">
        <f t="shared" si="9"/>
        <v>429</v>
      </c>
      <c r="C34" s="134">
        <v>106</v>
      </c>
      <c r="D34" s="134">
        <f t="shared" si="10"/>
        <v>323</v>
      </c>
      <c r="E34" s="134">
        <v>119</v>
      </c>
      <c r="F34" s="134">
        <f>15+22</f>
        <v>37</v>
      </c>
      <c r="G34" s="134">
        <v>51</v>
      </c>
      <c r="H34" s="134">
        <v>76</v>
      </c>
      <c r="I34" s="134">
        <v>40</v>
      </c>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205"/>
      <c r="EY34" s="205"/>
      <c r="EZ34" s="205"/>
      <c r="FA34" s="205"/>
      <c r="FB34" s="205"/>
      <c r="FC34" s="205"/>
      <c r="FD34" s="205"/>
      <c r="FE34" s="205"/>
      <c r="FF34" s="205"/>
      <c r="FG34" s="205"/>
      <c r="FH34" s="205"/>
      <c r="FI34" s="205"/>
      <c r="FJ34" s="205"/>
      <c r="FK34" s="205"/>
      <c r="FL34" s="205"/>
      <c r="FM34" s="205"/>
      <c r="FN34" s="205"/>
      <c r="FO34" s="205"/>
      <c r="FP34" s="205"/>
      <c r="FQ34" s="205"/>
      <c r="FR34" s="205"/>
      <c r="FS34" s="205"/>
      <c r="FT34" s="205"/>
      <c r="FU34" s="205"/>
      <c r="FV34" s="205"/>
      <c r="FW34" s="205"/>
      <c r="FX34" s="205"/>
      <c r="FY34" s="205"/>
      <c r="FZ34" s="205"/>
      <c r="GA34" s="205"/>
      <c r="GB34" s="205"/>
      <c r="GC34" s="205"/>
      <c r="GD34" s="205"/>
      <c r="GE34" s="205"/>
      <c r="GF34" s="205"/>
      <c r="GG34" s="205"/>
      <c r="GH34" s="205"/>
      <c r="GI34" s="205"/>
      <c r="GJ34" s="205"/>
      <c r="GK34" s="205"/>
      <c r="GL34" s="205"/>
      <c r="GM34" s="205"/>
      <c r="GN34" s="205"/>
      <c r="GO34" s="205"/>
      <c r="GP34" s="205"/>
      <c r="GQ34" s="205"/>
      <c r="GR34" s="205"/>
      <c r="GS34" s="205"/>
      <c r="GT34" s="205"/>
      <c r="GU34" s="205"/>
      <c r="GV34" s="205"/>
      <c r="GW34" s="205"/>
      <c r="GX34" s="205"/>
      <c r="GY34" s="205"/>
      <c r="GZ34" s="205"/>
      <c r="HA34" s="205"/>
      <c r="HB34" s="205"/>
      <c r="HC34" s="205"/>
      <c r="HD34" s="205"/>
      <c r="HE34" s="205"/>
      <c r="HF34" s="205"/>
      <c r="HG34" s="205"/>
      <c r="HH34" s="205"/>
      <c r="HI34" s="205"/>
      <c r="HJ34" s="205"/>
      <c r="HK34" s="205"/>
      <c r="HL34" s="205"/>
      <c r="HM34" s="205"/>
      <c r="HN34" s="205"/>
      <c r="HO34" s="205"/>
      <c r="HP34" s="205"/>
      <c r="HQ34" s="205"/>
      <c r="HR34" s="205"/>
      <c r="HS34" s="205"/>
      <c r="HT34" s="205"/>
      <c r="HU34" s="205"/>
      <c r="HV34" s="205"/>
      <c r="HW34" s="205"/>
      <c r="HX34" s="205"/>
      <c r="HY34" s="205"/>
      <c r="HZ34" s="205"/>
      <c r="IA34" s="205"/>
      <c r="IB34" s="205"/>
      <c r="IC34" s="205"/>
      <c r="ID34" s="205"/>
      <c r="IE34" s="205"/>
      <c r="IF34" s="205"/>
      <c r="IG34" s="205"/>
      <c r="IH34" s="205"/>
      <c r="II34" s="205"/>
      <c r="IJ34" s="205"/>
      <c r="IK34" s="205"/>
      <c r="IL34" s="205"/>
      <c r="IM34" s="205"/>
      <c r="IN34" s="205"/>
      <c r="IO34" s="205"/>
      <c r="IP34" s="205"/>
      <c r="IQ34" s="205"/>
      <c r="IR34" s="205"/>
      <c r="IS34" s="205"/>
      <c r="IT34" s="205"/>
      <c r="IU34" s="205"/>
      <c r="IV34" s="205"/>
    </row>
    <row r="35" spans="1:256" customFormat="1" ht="15.95" hidden="1" customHeight="1">
      <c r="A35" s="210" t="s">
        <v>1331</v>
      </c>
      <c r="B35" s="134">
        <f t="shared" si="9"/>
        <v>0</v>
      </c>
      <c r="C35" s="134"/>
      <c r="D35" s="134">
        <f t="shared" si="10"/>
        <v>0</v>
      </c>
      <c r="E35" s="134"/>
      <c r="F35" s="134"/>
      <c r="G35" s="134"/>
      <c r="H35" s="134"/>
      <c r="I35" s="134"/>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205"/>
      <c r="EY35" s="205"/>
      <c r="EZ35" s="205"/>
      <c r="FA35" s="205"/>
      <c r="FB35" s="205"/>
      <c r="FC35" s="205"/>
      <c r="FD35" s="205"/>
      <c r="FE35" s="205"/>
      <c r="FF35" s="205"/>
      <c r="FG35" s="205"/>
      <c r="FH35" s="205"/>
      <c r="FI35" s="205"/>
      <c r="FJ35" s="205"/>
      <c r="FK35" s="205"/>
      <c r="FL35" s="205"/>
      <c r="FM35" s="205"/>
      <c r="FN35" s="205"/>
      <c r="FO35" s="205"/>
      <c r="FP35" s="205"/>
      <c r="FQ35" s="205"/>
      <c r="FR35" s="205"/>
      <c r="FS35" s="205"/>
      <c r="FT35" s="205"/>
      <c r="FU35" s="205"/>
      <c r="FV35" s="205"/>
      <c r="FW35" s="205"/>
      <c r="FX35" s="205"/>
      <c r="FY35" s="205"/>
      <c r="FZ35" s="205"/>
      <c r="GA35" s="205"/>
      <c r="GB35" s="205"/>
      <c r="GC35" s="205"/>
      <c r="GD35" s="205"/>
      <c r="GE35" s="205"/>
      <c r="GF35" s="205"/>
      <c r="GG35" s="205"/>
      <c r="GH35" s="205"/>
      <c r="GI35" s="205"/>
      <c r="GJ35" s="205"/>
      <c r="GK35" s="205"/>
      <c r="GL35" s="205"/>
      <c r="GM35" s="205"/>
      <c r="GN35" s="205"/>
      <c r="GO35" s="205"/>
      <c r="GP35" s="205"/>
      <c r="GQ35" s="205"/>
      <c r="GR35" s="205"/>
      <c r="GS35" s="205"/>
      <c r="GT35" s="205"/>
      <c r="GU35" s="205"/>
      <c r="GV35" s="205"/>
      <c r="GW35" s="205"/>
      <c r="GX35" s="205"/>
      <c r="GY35" s="205"/>
      <c r="GZ35" s="205"/>
      <c r="HA35" s="205"/>
      <c r="HB35" s="205"/>
      <c r="HC35" s="205"/>
      <c r="HD35" s="205"/>
      <c r="HE35" s="205"/>
      <c r="HF35" s="205"/>
      <c r="HG35" s="205"/>
      <c r="HH35" s="205"/>
      <c r="HI35" s="205"/>
      <c r="HJ35" s="205"/>
      <c r="HK35" s="205"/>
      <c r="HL35" s="205"/>
      <c r="HM35" s="205"/>
      <c r="HN35" s="205"/>
      <c r="HO35" s="205"/>
      <c r="HP35" s="205"/>
      <c r="HQ35" s="205"/>
      <c r="HR35" s="205"/>
      <c r="HS35" s="205"/>
      <c r="HT35" s="205"/>
      <c r="HU35" s="205"/>
      <c r="HV35" s="205"/>
      <c r="HW35" s="205"/>
      <c r="HX35" s="205"/>
      <c r="HY35" s="205"/>
      <c r="HZ35" s="205"/>
      <c r="IA35" s="205"/>
      <c r="IB35" s="205"/>
      <c r="IC35" s="205"/>
      <c r="ID35" s="205"/>
      <c r="IE35" s="205"/>
      <c r="IF35" s="205"/>
      <c r="IG35" s="205"/>
      <c r="IH35" s="205"/>
      <c r="II35" s="205"/>
      <c r="IJ35" s="205"/>
      <c r="IK35" s="205"/>
      <c r="IL35" s="205"/>
      <c r="IM35" s="205"/>
      <c r="IN35" s="205"/>
      <c r="IO35" s="205"/>
      <c r="IP35" s="205"/>
      <c r="IQ35" s="205"/>
      <c r="IR35" s="205"/>
      <c r="IS35" s="205"/>
      <c r="IT35" s="205"/>
      <c r="IU35" s="205"/>
      <c r="IV35" s="205"/>
    </row>
    <row r="36" spans="1:256" customFormat="1" ht="15.95" hidden="1" customHeight="1">
      <c r="A36" s="210" t="s">
        <v>1332</v>
      </c>
      <c r="B36" s="134">
        <f t="shared" si="9"/>
        <v>0</v>
      </c>
      <c r="C36" s="134"/>
      <c r="D36" s="134">
        <f t="shared" si="10"/>
        <v>0</v>
      </c>
      <c r="E36" s="134"/>
      <c r="F36" s="134"/>
      <c r="G36" s="134"/>
      <c r="H36" s="134"/>
      <c r="I36" s="134"/>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c r="EK36" s="205"/>
      <c r="EL36" s="205"/>
      <c r="EM36" s="205"/>
      <c r="EN36" s="205"/>
      <c r="EO36" s="205"/>
      <c r="EP36" s="205"/>
      <c r="EQ36" s="205"/>
      <c r="ER36" s="205"/>
      <c r="ES36" s="205"/>
      <c r="ET36" s="205"/>
      <c r="EU36" s="205"/>
      <c r="EV36" s="205"/>
      <c r="EW36" s="205"/>
      <c r="EX36" s="205"/>
      <c r="EY36" s="205"/>
      <c r="EZ36" s="205"/>
      <c r="FA36" s="205"/>
      <c r="FB36" s="205"/>
      <c r="FC36" s="205"/>
      <c r="FD36" s="205"/>
      <c r="FE36" s="205"/>
      <c r="FF36" s="205"/>
      <c r="FG36" s="205"/>
      <c r="FH36" s="205"/>
      <c r="FI36" s="205"/>
      <c r="FJ36" s="205"/>
      <c r="FK36" s="205"/>
      <c r="FL36" s="205"/>
      <c r="FM36" s="205"/>
      <c r="FN36" s="205"/>
      <c r="FO36" s="205"/>
      <c r="FP36" s="205"/>
      <c r="FQ36" s="205"/>
      <c r="FR36" s="205"/>
      <c r="FS36" s="205"/>
      <c r="FT36" s="205"/>
      <c r="FU36" s="205"/>
      <c r="FV36" s="205"/>
      <c r="FW36" s="205"/>
      <c r="FX36" s="205"/>
      <c r="FY36" s="205"/>
      <c r="FZ36" s="205"/>
      <c r="GA36" s="205"/>
      <c r="GB36" s="205"/>
      <c r="GC36" s="205"/>
      <c r="GD36" s="205"/>
      <c r="GE36" s="205"/>
      <c r="GF36" s="205"/>
      <c r="GG36" s="205"/>
      <c r="GH36" s="205"/>
      <c r="GI36" s="205"/>
      <c r="GJ36" s="205"/>
      <c r="GK36" s="205"/>
      <c r="GL36" s="205"/>
      <c r="GM36" s="205"/>
      <c r="GN36" s="205"/>
      <c r="GO36" s="205"/>
      <c r="GP36" s="205"/>
      <c r="GQ36" s="205"/>
      <c r="GR36" s="205"/>
      <c r="GS36" s="205"/>
      <c r="GT36" s="205"/>
      <c r="GU36" s="205"/>
      <c r="GV36" s="205"/>
      <c r="GW36" s="205"/>
      <c r="GX36" s="205"/>
      <c r="GY36" s="205"/>
      <c r="GZ36" s="205"/>
      <c r="HA36" s="205"/>
      <c r="HB36" s="205"/>
      <c r="HC36" s="205"/>
      <c r="HD36" s="205"/>
      <c r="HE36" s="205"/>
      <c r="HF36" s="205"/>
      <c r="HG36" s="205"/>
      <c r="HH36" s="205"/>
      <c r="HI36" s="205"/>
      <c r="HJ36" s="205"/>
      <c r="HK36" s="205"/>
      <c r="HL36" s="205"/>
      <c r="HM36" s="205"/>
      <c r="HN36" s="205"/>
      <c r="HO36" s="205"/>
      <c r="HP36" s="205"/>
      <c r="HQ36" s="205"/>
      <c r="HR36" s="205"/>
      <c r="HS36" s="205"/>
      <c r="HT36" s="205"/>
      <c r="HU36" s="205"/>
      <c r="HV36" s="205"/>
      <c r="HW36" s="205"/>
      <c r="HX36" s="205"/>
      <c r="HY36" s="205"/>
      <c r="HZ36" s="205"/>
      <c r="IA36" s="205"/>
      <c r="IB36" s="205"/>
      <c r="IC36" s="205"/>
      <c r="ID36" s="205"/>
      <c r="IE36" s="205"/>
      <c r="IF36" s="205"/>
      <c r="IG36" s="205"/>
      <c r="IH36" s="205"/>
      <c r="II36" s="205"/>
      <c r="IJ36" s="205"/>
      <c r="IK36" s="205"/>
      <c r="IL36" s="205"/>
      <c r="IM36" s="205"/>
      <c r="IN36" s="205"/>
      <c r="IO36" s="205"/>
      <c r="IP36" s="205"/>
      <c r="IQ36" s="205"/>
      <c r="IR36" s="205"/>
      <c r="IS36" s="205"/>
      <c r="IT36" s="205"/>
      <c r="IU36" s="205"/>
      <c r="IV36" s="205"/>
    </row>
    <row r="37" spans="1:256" customFormat="1" ht="15.95" customHeight="1">
      <c r="A37" s="210" t="s">
        <v>1333</v>
      </c>
      <c r="B37" s="134">
        <f t="shared" si="9"/>
        <v>3634</v>
      </c>
      <c r="C37" s="134">
        <v>2332</v>
      </c>
      <c r="D37" s="134">
        <f t="shared" si="10"/>
        <v>1302</v>
      </c>
      <c r="E37" s="134">
        <v>406</v>
      </c>
      <c r="F37" s="134">
        <v>887</v>
      </c>
      <c r="G37" s="134">
        <v>9</v>
      </c>
      <c r="H37" s="134"/>
      <c r="I37" s="134"/>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row>
    <row r="38" spans="1:256" customFormat="1" ht="15.95" customHeight="1">
      <c r="A38" s="209" t="s">
        <v>1334</v>
      </c>
      <c r="B38" s="134">
        <f t="shared" si="9"/>
        <v>190</v>
      </c>
      <c r="C38" s="134">
        <f t="shared" ref="C38" si="13">SUM(C39:C40)</f>
        <v>26</v>
      </c>
      <c r="D38" s="134">
        <f t="shared" si="10"/>
        <v>164</v>
      </c>
      <c r="E38" s="134">
        <f t="shared" ref="E38:I38" si="14">SUM(E39:E40)</f>
        <v>40</v>
      </c>
      <c r="F38" s="134">
        <f t="shared" si="14"/>
        <v>61</v>
      </c>
      <c r="G38" s="134">
        <f t="shared" si="14"/>
        <v>39</v>
      </c>
      <c r="H38" s="134">
        <f t="shared" si="14"/>
        <v>24</v>
      </c>
      <c r="I38" s="134">
        <f t="shared" si="14"/>
        <v>0</v>
      </c>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c r="IN38" s="205"/>
      <c r="IO38" s="205"/>
      <c r="IP38" s="205"/>
      <c r="IQ38" s="205"/>
      <c r="IR38" s="205"/>
      <c r="IS38" s="205"/>
      <c r="IT38" s="205"/>
      <c r="IU38" s="205"/>
      <c r="IV38" s="205"/>
    </row>
    <row r="39" spans="1:256" customFormat="1" ht="15.95" customHeight="1">
      <c r="A39" s="210" t="s">
        <v>1335</v>
      </c>
      <c r="B39" s="134">
        <f t="shared" si="9"/>
        <v>76</v>
      </c>
      <c r="C39" s="134"/>
      <c r="D39" s="134">
        <f t="shared" si="10"/>
        <v>76</v>
      </c>
      <c r="E39" s="134">
        <v>30</v>
      </c>
      <c r="F39" s="134">
        <v>22</v>
      </c>
      <c r="G39" s="134">
        <v>24</v>
      </c>
      <c r="H39" s="134"/>
      <c r="I39" s="134"/>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05"/>
      <c r="FH39" s="205"/>
      <c r="FI39" s="205"/>
      <c r="FJ39" s="205"/>
      <c r="FK39" s="205"/>
      <c r="FL39" s="205"/>
      <c r="FM39" s="205"/>
      <c r="FN39" s="205"/>
      <c r="FO39" s="205"/>
      <c r="FP39" s="205"/>
      <c r="FQ39" s="205"/>
      <c r="FR39" s="205"/>
      <c r="FS39" s="205"/>
      <c r="FT39" s="205"/>
      <c r="FU39" s="205"/>
      <c r="FV39" s="205"/>
      <c r="FW39" s="205"/>
      <c r="FX39" s="205"/>
      <c r="FY39" s="205"/>
      <c r="FZ39" s="205"/>
      <c r="GA39" s="205"/>
      <c r="GB39" s="205"/>
      <c r="GC39" s="205"/>
      <c r="GD39" s="205"/>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5"/>
      <c r="HO39" s="205"/>
      <c r="HP39" s="205"/>
      <c r="HQ39" s="205"/>
      <c r="HR39" s="205"/>
      <c r="HS39" s="205"/>
      <c r="HT39" s="205"/>
      <c r="HU39" s="205"/>
      <c r="HV39" s="205"/>
      <c r="HW39" s="205"/>
      <c r="HX39" s="205"/>
      <c r="HY39" s="205"/>
      <c r="HZ39" s="205"/>
      <c r="IA39" s="205"/>
      <c r="IB39" s="205"/>
      <c r="IC39" s="205"/>
      <c r="ID39" s="205"/>
      <c r="IE39" s="205"/>
      <c r="IF39" s="205"/>
      <c r="IG39" s="205"/>
      <c r="IH39" s="205"/>
      <c r="II39" s="205"/>
      <c r="IJ39" s="205"/>
      <c r="IK39" s="205"/>
      <c r="IL39" s="205"/>
      <c r="IM39" s="205"/>
      <c r="IN39" s="205"/>
      <c r="IO39" s="205"/>
      <c r="IP39" s="205"/>
      <c r="IQ39" s="205"/>
      <c r="IR39" s="205"/>
      <c r="IS39" s="205"/>
      <c r="IT39" s="205"/>
      <c r="IU39" s="205"/>
      <c r="IV39" s="205"/>
    </row>
    <row r="40" spans="1:256" customFormat="1" ht="15.95" customHeight="1">
      <c r="A40" s="210" t="s">
        <v>1336</v>
      </c>
      <c r="B40" s="134">
        <f t="shared" si="9"/>
        <v>114</v>
      </c>
      <c r="C40" s="134">
        <v>26</v>
      </c>
      <c r="D40" s="134">
        <f t="shared" si="10"/>
        <v>88</v>
      </c>
      <c r="E40" s="134">
        <v>10</v>
      </c>
      <c r="F40" s="134">
        <v>39</v>
      </c>
      <c r="G40" s="134">
        <v>15</v>
      </c>
      <c r="H40" s="134">
        <v>24</v>
      </c>
      <c r="I40" s="134"/>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c r="IN40" s="205"/>
      <c r="IO40" s="205"/>
      <c r="IP40" s="205"/>
      <c r="IQ40" s="205"/>
      <c r="IR40" s="205"/>
      <c r="IS40" s="205"/>
      <c r="IT40" s="205"/>
      <c r="IU40" s="205"/>
      <c r="IV40" s="205"/>
    </row>
    <row r="41" spans="1:256" customFormat="1" ht="15.95" customHeight="1">
      <c r="A41" s="209" t="s">
        <v>1337</v>
      </c>
      <c r="B41" s="134">
        <f t="shared" si="9"/>
        <v>9106</v>
      </c>
      <c r="C41" s="134">
        <f t="shared" ref="C41" si="15">SUM(C42:C46)</f>
        <v>6485</v>
      </c>
      <c r="D41" s="134">
        <f t="shared" si="10"/>
        <v>2621</v>
      </c>
      <c r="E41" s="134">
        <f t="shared" ref="E41:I41" si="16">SUM(E42:E46)</f>
        <v>970</v>
      </c>
      <c r="F41" s="134">
        <f t="shared" si="16"/>
        <v>784</v>
      </c>
      <c r="G41" s="134">
        <f t="shared" si="16"/>
        <v>250</v>
      </c>
      <c r="H41" s="134">
        <f t="shared" si="16"/>
        <v>572</v>
      </c>
      <c r="I41" s="134">
        <f t="shared" si="16"/>
        <v>45</v>
      </c>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5"/>
      <c r="FI41" s="205"/>
      <c r="FJ41" s="205"/>
      <c r="FK41" s="205"/>
      <c r="FL41" s="205"/>
      <c r="FM41" s="205"/>
      <c r="FN41" s="205"/>
      <c r="FO41" s="205"/>
      <c r="FP41" s="205"/>
      <c r="FQ41" s="205"/>
      <c r="FR41" s="205"/>
      <c r="FS41" s="205"/>
      <c r="FT41" s="205"/>
      <c r="FU41" s="205"/>
      <c r="FV41" s="205"/>
      <c r="FW41" s="205"/>
      <c r="FX41" s="205"/>
      <c r="FY41" s="205"/>
      <c r="FZ41" s="205"/>
      <c r="GA41" s="205"/>
      <c r="GB41" s="205"/>
      <c r="GC41" s="205"/>
      <c r="GD41" s="205"/>
      <c r="GE41" s="205"/>
      <c r="GF41" s="205"/>
      <c r="GG41" s="205"/>
      <c r="GH41" s="205"/>
      <c r="GI41" s="205"/>
      <c r="GJ41" s="205"/>
      <c r="GK41" s="205"/>
      <c r="GL41" s="205"/>
      <c r="GM41" s="205"/>
      <c r="GN41" s="205"/>
      <c r="GO41" s="205"/>
      <c r="GP41" s="205"/>
      <c r="GQ41" s="205"/>
      <c r="GR41" s="205"/>
      <c r="GS41" s="205"/>
      <c r="GT41" s="205"/>
      <c r="GU41" s="205"/>
      <c r="GV41" s="205"/>
      <c r="GW41" s="205"/>
      <c r="GX41" s="205"/>
      <c r="GY41" s="205"/>
      <c r="GZ41" s="205"/>
      <c r="HA41" s="205"/>
      <c r="HB41" s="205"/>
      <c r="HC41" s="205"/>
      <c r="HD41" s="205"/>
      <c r="HE41" s="205"/>
      <c r="HF41" s="205"/>
      <c r="HG41" s="205"/>
      <c r="HH41" s="205"/>
      <c r="HI41" s="205"/>
      <c r="HJ41" s="205"/>
      <c r="HK41" s="205"/>
      <c r="HL41" s="205"/>
      <c r="HM41" s="205"/>
      <c r="HN41" s="205"/>
      <c r="HO41" s="205"/>
      <c r="HP41" s="205"/>
      <c r="HQ41" s="205"/>
      <c r="HR41" s="205"/>
      <c r="HS41" s="205"/>
      <c r="HT41" s="205"/>
      <c r="HU41" s="205"/>
      <c r="HV41" s="205"/>
      <c r="HW41" s="205"/>
      <c r="HX41" s="205"/>
      <c r="HY41" s="205"/>
      <c r="HZ41" s="205"/>
      <c r="IA41" s="205"/>
      <c r="IB41" s="205"/>
      <c r="IC41" s="205"/>
      <c r="ID41" s="205"/>
      <c r="IE41" s="205"/>
      <c r="IF41" s="205"/>
      <c r="IG41" s="205"/>
      <c r="IH41" s="205"/>
      <c r="II41" s="205"/>
      <c r="IJ41" s="205"/>
      <c r="IK41" s="205"/>
      <c r="IL41" s="205"/>
      <c r="IM41" s="205"/>
      <c r="IN41" s="205"/>
      <c r="IO41" s="205"/>
      <c r="IP41" s="205"/>
      <c r="IQ41" s="205"/>
      <c r="IR41" s="205"/>
      <c r="IS41" s="205"/>
      <c r="IT41" s="205"/>
      <c r="IU41" s="205"/>
      <c r="IV41" s="205"/>
    </row>
    <row r="42" spans="1:256" customFormat="1" ht="15.95" customHeight="1">
      <c r="A42" s="210" t="s">
        <v>1338</v>
      </c>
      <c r="B42" s="134">
        <f t="shared" si="9"/>
        <v>1453</v>
      </c>
      <c r="C42" s="134">
        <v>525</v>
      </c>
      <c r="D42" s="134">
        <f t="shared" si="10"/>
        <v>928</v>
      </c>
      <c r="E42" s="134">
        <v>70</v>
      </c>
      <c r="F42" s="134">
        <f>520+16</f>
        <v>536</v>
      </c>
      <c r="G42" s="134">
        <v>65</v>
      </c>
      <c r="H42" s="134">
        <v>227</v>
      </c>
      <c r="I42" s="134">
        <v>30</v>
      </c>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205"/>
      <c r="EZ42" s="205"/>
      <c r="FA42" s="205"/>
      <c r="FB42" s="205"/>
      <c r="FC42" s="205"/>
      <c r="FD42" s="205"/>
      <c r="FE42" s="205"/>
      <c r="FF42" s="205"/>
      <c r="FG42" s="205"/>
      <c r="FH42" s="205"/>
      <c r="FI42" s="205"/>
      <c r="FJ42" s="205"/>
      <c r="FK42" s="205"/>
      <c r="FL42" s="205"/>
      <c r="FM42" s="205"/>
      <c r="FN42" s="205"/>
      <c r="FO42" s="205"/>
      <c r="FP42" s="205"/>
      <c r="FQ42" s="205"/>
      <c r="FR42" s="205"/>
      <c r="FS42" s="205"/>
      <c r="FT42" s="205"/>
      <c r="FU42" s="205"/>
      <c r="FV42" s="205"/>
      <c r="FW42" s="205"/>
      <c r="FX42" s="205"/>
      <c r="FY42" s="205"/>
      <c r="FZ42" s="205"/>
      <c r="GA42" s="205"/>
      <c r="GB42" s="205"/>
      <c r="GC42" s="205"/>
      <c r="GD42" s="205"/>
      <c r="GE42" s="205"/>
      <c r="GF42" s="205"/>
      <c r="GG42" s="205"/>
      <c r="GH42" s="205"/>
      <c r="GI42" s="205"/>
      <c r="GJ42" s="205"/>
      <c r="GK42" s="205"/>
      <c r="GL42" s="205"/>
      <c r="GM42" s="205"/>
      <c r="GN42" s="205"/>
      <c r="GO42" s="205"/>
      <c r="GP42" s="205"/>
      <c r="GQ42" s="205"/>
      <c r="GR42" s="205"/>
      <c r="GS42" s="205"/>
      <c r="GT42" s="205"/>
      <c r="GU42" s="205"/>
      <c r="GV42" s="205"/>
      <c r="GW42" s="205"/>
      <c r="GX42" s="205"/>
      <c r="GY42" s="205"/>
      <c r="GZ42" s="205"/>
      <c r="HA42" s="205"/>
      <c r="HB42" s="205"/>
      <c r="HC42" s="205"/>
      <c r="HD42" s="205"/>
      <c r="HE42" s="205"/>
      <c r="HF42" s="205"/>
      <c r="HG42" s="205"/>
      <c r="HH42" s="205"/>
      <c r="HI42" s="205"/>
      <c r="HJ42" s="205"/>
      <c r="HK42" s="205"/>
      <c r="HL42" s="205"/>
      <c r="HM42" s="205"/>
      <c r="HN42" s="205"/>
      <c r="HO42" s="205"/>
      <c r="HP42" s="205"/>
      <c r="HQ42" s="205"/>
      <c r="HR42" s="205"/>
      <c r="HS42" s="205"/>
      <c r="HT42" s="205"/>
      <c r="HU42" s="205"/>
      <c r="HV42" s="205"/>
      <c r="HW42" s="205"/>
      <c r="HX42" s="205"/>
      <c r="HY42" s="205"/>
      <c r="HZ42" s="205"/>
      <c r="IA42" s="205"/>
      <c r="IB42" s="205"/>
      <c r="IC42" s="205"/>
      <c r="ID42" s="205"/>
      <c r="IE42" s="205"/>
      <c r="IF42" s="205"/>
      <c r="IG42" s="205"/>
      <c r="IH42" s="205"/>
      <c r="II42" s="205"/>
      <c r="IJ42" s="205"/>
      <c r="IK42" s="205"/>
      <c r="IL42" s="205"/>
      <c r="IM42" s="205"/>
      <c r="IN42" s="205"/>
      <c r="IO42" s="205"/>
      <c r="IP42" s="205"/>
      <c r="IQ42" s="205"/>
      <c r="IR42" s="205"/>
      <c r="IS42" s="205"/>
      <c r="IT42" s="205"/>
      <c r="IU42" s="205"/>
      <c r="IV42" s="205"/>
    </row>
    <row r="43" spans="1:256" customFormat="1" ht="15.95" customHeight="1">
      <c r="A43" s="210" t="s">
        <v>1339</v>
      </c>
      <c r="B43" s="134">
        <f t="shared" si="9"/>
        <v>2585</v>
      </c>
      <c r="C43" s="134">
        <v>2241</v>
      </c>
      <c r="D43" s="134">
        <f t="shared" si="10"/>
        <v>344</v>
      </c>
      <c r="E43" s="134">
        <v>95</v>
      </c>
      <c r="F43" s="134">
        <v>44</v>
      </c>
      <c r="G43" s="134">
        <v>115</v>
      </c>
      <c r="H43" s="134">
        <v>75</v>
      </c>
      <c r="I43" s="134">
        <v>15</v>
      </c>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205"/>
      <c r="EZ43" s="205"/>
      <c r="FA43" s="205"/>
      <c r="FB43" s="205"/>
      <c r="FC43" s="205"/>
      <c r="FD43" s="205"/>
      <c r="FE43" s="205"/>
      <c r="FF43" s="205"/>
      <c r="FG43" s="205"/>
      <c r="FH43" s="205"/>
      <c r="FI43" s="205"/>
      <c r="FJ43" s="205"/>
      <c r="FK43" s="205"/>
      <c r="FL43" s="205"/>
      <c r="FM43" s="205"/>
      <c r="FN43" s="205"/>
      <c r="FO43" s="205"/>
      <c r="FP43" s="205"/>
      <c r="FQ43" s="205"/>
      <c r="FR43" s="205"/>
      <c r="FS43" s="205"/>
      <c r="FT43" s="205"/>
      <c r="FU43" s="205"/>
      <c r="FV43" s="205"/>
      <c r="FW43" s="205"/>
      <c r="FX43" s="205"/>
      <c r="FY43" s="205"/>
      <c r="FZ43" s="205"/>
      <c r="GA43" s="205"/>
      <c r="GB43" s="205"/>
      <c r="GC43" s="205"/>
      <c r="GD43" s="205"/>
      <c r="GE43" s="205"/>
      <c r="GF43" s="205"/>
      <c r="GG43" s="205"/>
      <c r="GH43" s="205"/>
      <c r="GI43" s="205"/>
      <c r="GJ43" s="205"/>
      <c r="GK43" s="205"/>
      <c r="GL43" s="205"/>
      <c r="GM43" s="205"/>
      <c r="GN43" s="205"/>
      <c r="GO43" s="205"/>
      <c r="GP43" s="205"/>
      <c r="GQ43" s="205"/>
      <c r="GR43" s="205"/>
      <c r="GS43" s="205"/>
      <c r="GT43" s="205"/>
      <c r="GU43" s="205"/>
      <c r="GV43" s="205"/>
      <c r="GW43" s="205"/>
      <c r="GX43" s="205"/>
      <c r="GY43" s="205"/>
      <c r="GZ43" s="205"/>
      <c r="HA43" s="205"/>
      <c r="HB43" s="205"/>
      <c r="HC43" s="205"/>
      <c r="HD43" s="205"/>
      <c r="HE43" s="205"/>
      <c r="HF43" s="205"/>
      <c r="HG43" s="205"/>
      <c r="HH43" s="205"/>
      <c r="HI43" s="205"/>
      <c r="HJ43" s="205"/>
      <c r="HK43" s="205"/>
      <c r="HL43" s="205"/>
      <c r="HM43" s="205"/>
      <c r="HN43" s="205"/>
      <c r="HO43" s="205"/>
      <c r="HP43" s="205"/>
      <c r="HQ43" s="205"/>
      <c r="HR43" s="205"/>
      <c r="HS43" s="205"/>
      <c r="HT43" s="205"/>
      <c r="HU43" s="205"/>
      <c r="HV43" s="205"/>
      <c r="HW43" s="205"/>
      <c r="HX43" s="205"/>
      <c r="HY43" s="205"/>
      <c r="HZ43" s="205"/>
      <c r="IA43" s="205"/>
      <c r="IB43" s="205"/>
      <c r="IC43" s="205"/>
      <c r="ID43" s="205"/>
      <c r="IE43" s="205"/>
      <c r="IF43" s="205"/>
      <c r="IG43" s="205"/>
      <c r="IH43" s="205"/>
      <c r="II43" s="205"/>
      <c r="IJ43" s="205"/>
      <c r="IK43" s="205"/>
      <c r="IL43" s="205"/>
      <c r="IM43" s="205"/>
      <c r="IN43" s="205"/>
      <c r="IO43" s="205"/>
      <c r="IP43" s="205"/>
      <c r="IQ43" s="205"/>
      <c r="IR43" s="205"/>
      <c r="IS43" s="205"/>
      <c r="IT43" s="205"/>
      <c r="IU43" s="205"/>
      <c r="IV43" s="205"/>
    </row>
    <row r="44" spans="1:256" customFormat="1" ht="15.95" customHeight="1">
      <c r="A44" s="210" t="s">
        <v>1340</v>
      </c>
      <c r="B44" s="134">
        <f t="shared" si="9"/>
        <v>2500</v>
      </c>
      <c r="C44" s="134">
        <v>2500</v>
      </c>
      <c r="D44" s="134">
        <f t="shared" si="10"/>
        <v>0</v>
      </c>
      <c r="E44" s="134"/>
      <c r="F44" s="134"/>
      <c r="G44" s="134"/>
      <c r="H44" s="134"/>
      <c r="I44" s="134"/>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5"/>
      <c r="DY44" s="205"/>
      <c r="DZ44" s="205"/>
      <c r="EA44" s="205"/>
      <c r="EB44" s="205"/>
      <c r="EC44" s="205"/>
      <c r="ED44" s="205"/>
      <c r="EE44" s="205"/>
      <c r="EF44" s="205"/>
      <c r="EG44" s="205"/>
      <c r="EH44" s="205"/>
      <c r="EI44" s="205"/>
      <c r="EJ44" s="205"/>
      <c r="EK44" s="205"/>
      <c r="EL44" s="205"/>
      <c r="EM44" s="205"/>
      <c r="EN44" s="205"/>
      <c r="EO44" s="205"/>
      <c r="EP44" s="205"/>
      <c r="EQ44" s="205"/>
      <c r="ER44" s="205"/>
      <c r="ES44" s="205"/>
      <c r="ET44" s="205"/>
      <c r="EU44" s="205"/>
      <c r="EV44" s="205"/>
      <c r="EW44" s="205"/>
      <c r="EX44" s="205"/>
      <c r="EY44" s="205"/>
      <c r="EZ44" s="205"/>
      <c r="FA44" s="205"/>
      <c r="FB44" s="205"/>
      <c r="FC44" s="205"/>
      <c r="FD44" s="205"/>
      <c r="FE44" s="205"/>
      <c r="FF44" s="205"/>
      <c r="FG44" s="205"/>
      <c r="FH44" s="205"/>
      <c r="FI44" s="205"/>
      <c r="FJ44" s="205"/>
      <c r="FK44" s="205"/>
      <c r="FL44" s="205"/>
      <c r="FM44" s="205"/>
      <c r="FN44" s="205"/>
      <c r="FO44" s="205"/>
      <c r="FP44" s="205"/>
      <c r="FQ44" s="205"/>
      <c r="FR44" s="205"/>
      <c r="FS44" s="205"/>
      <c r="FT44" s="205"/>
      <c r="FU44" s="205"/>
      <c r="FV44" s="205"/>
      <c r="FW44" s="205"/>
      <c r="FX44" s="205"/>
      <c r="FY44" s="205"/>
      <c r="FZ44" s="205"/>
      <c r="GA44" s="205"/>
      <c r="GB44" s="205"/>
      <c r="GC44" s="205"/>
      <c r="GD44" s="205"/>
      <c r="GE44" s="205"/>
      <c r="GF44" s="205"/>
      <c r="GG44" s="205"/>
      <c r="GH44" s="205"/>
      <c r="GI44" s="205"/>
      <c r="GJ44" s="205"/>
      <c r="GK44" s="205"/>
      <c r="GL44" s="205"/>
      <c r="GM44" s="205"/>
      <c r="GN44" s="205"/>
      <c r="GO44" s="205"/>
      <c r="GP44" s="205"/>
      <c r="GQ44" s="205"/>
      <c r="GR44" s="205"/>
      <c r="GS44" s="205"/>
      <c r="GT44" s="205"/>
      <c r="GU44" s="205"/>
      <c r="GV44" s="205"/>
      <c r="GW44" s="205"/>
      <c r="GX44" s="205"/>
      <c r="GY44" s="205"/>
      <c r="GZ44" s="205"/>
      <c r="HA44" s="205"/>
      <c r="HB44" s="205"/>
      <c r="HC44" s="205"/>
      <c r="HD44" s="205"/>
      <c r="HE44" s="205"/>
      <c r="HF44" s="205"/>
      <c r="HG44" s="205"/>
      <c r="HH44" s="205"/>
      <c r="HI44" s="205"/>
      <c r="HJ44" s="205"/>
      <c r="HK44" s="205"/>
      <c r="HL44" s="205"/>
      <c r="HM44" s="205"/>
      <c r="HN44" s="205"/>
      <c r="HO44" s="205"/>
      <c r="HP44" s="205"/>
      <c r="HQ44" s="205"/>
      <c r="HR44" s="205"/>
      <c r="HS44" s="205"/>
      <c r="HT44" s="205"/>
      <c r="HU44" s="205"/>
      <c r="HV44" s="205"/>
      <c r="HW44" s="205"/>
      <c r="HX44" s="205"/>
      <c r="HY44" s="205"/>
      <c r="HZ44" s="205"/>
      <c r="IA44" s="205"/>
      <c r="IB44" s="205"/>
      <c r="IC44" s="205"/>
      <c r="ID44" s="205"/>
      <c r="IE44" s="205"/>
      <c r="IF44" s="205"/>
      <c r="IG44" s="205"/>
      <c r="IH44" s="205"/>
      <c r="II44" s="205"/>
      <c r="IJ44" s="205"/>
      <c r="IK44" s="205"/>
      <c r="IL44" s="205"/>
      <c r="IM44" s="205"/>
      <c r="IN44" s="205"/>
      <c r="IO44" s="205"/>
      <c r="IP44" s="205"/>
      <c r="IQ44" s="205"/>
      <c r="IR44" s="205"/>
      <c r="IS44" s="205"/>
      <c r="IT44" s="205"/>
      <c r="IU44" s="205"/>
      <c r="IV44" s="205"/>
    </row>
    <row r="45" spans="1:256" customFormat="1" ht="15.95" customHeight="1">
      <c r="A45" s="210" t="s">
        <v>1341</v>
      </c>
      <c r="B45" s="134">
        <f t="shared" si="9"/>
        <v>186</v>
      </c>
      <c r="C45" s="134">
        <v>106</v>
      </c>
      <c r="D45" s="134">
        <f t="shared" si="10"/>
        <v>80</v>
      </c>
      <c r="E45" s="134">
        <v>27</v>
      </c>
      <c r="F45" s="134">
        <v>53</v>
      </c>
      <c r="G45" s="134"/>
      <c r="H45" s="134"/>
      <c r="I45" s="134"/>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c r="EO45" s="205"/>
      <c r="EP45" s="205"/>
      <c r="EQ45" s="205"/>
      <c r="ER45" s="205"/>
      <c r="ES45" s="205"/>
      <c r="ET45" s="205"/>
      <c r="EU45" s="205"/>
      <c r="EV45" s="205"/>
      <c r="EW45" s="205"/>
      <c r="EX45" s="205"/>
      <c r="EY45" s="205"/>
      <c r="EZ45" s="205"/>
      <c r="FA45" s="205"/>
      <c r="FB45" s="205"/>
      <c r="FC45" s="205"/>
      <c r="FD45" s="205"/>
      <c r="FE45" s="205"/>
      <c r="FF45" s="205"/>
      <c r="FG45" s="205"/>
      <c r="FH45" s="205"/>
      <c r="FI45" s="205"/>
      <c r="FJ45" s="205"/>
      <c r="FK45" s="205"/>
      <c r="FL45" s="205"/>
      <c r="FM45" s="205"/>
      <c r="FN45" s="205"/>
      <c r="FO45" s="205"/>
      <c r="FP45" s="205"/>
      <c r="FQ45" s="205"/>
      <c r="FR45" s="205"/>
      <c r="FS45" s="205"/>
      <c r="FT45" s="205"/>
      <c r="FU45" s="205"/>
      <c r="FV45" s="205"/>
      <c r="FW45" s="205"/>
      <c r="FX45" s="205"/>
      <c r="FY45" s="205"/>
      <c r="FZ45" s="205"/>
      <c r="GA45" s="205"/>
      <c r="GB45" s="205"/>
      <c r="GC45" s="205"/>
      <c r="GD45" s="205"/>
      <c r="GE45" s="205"/>
      <c r="GF45" s="205"/>
      <c r="GG45" s="205"/>
      <c r="GH45" s="205"/>
      <c r="GI45" s="205"/>
      <c r="GJ45" s="205"/>
      <c r="GK45" s="205"/>
      <c r="GL45" s="205"/>
      <c r="GM45" s="205"/>
      <c r="GN45" s="205"/>
      <c r="GO45" s="205"/>
      <c r="GP45" s="205"/>
      <c r="GQ45" s="205"/>
      <c r="GR45" s="205"/>
      <c r="GS45" s="205"/>
      <c r="GT45" s="205"/>
      <c r="GU45" s="205"/>
      <c r="GV45" s="205"/>
      <c r="GW45" s="205"/>
      <c r="GX45" s="205"/>
      <c r="GY45" s="205"/>
      <c r="GZ45" s="205"/>
      <c r="HA45" s="205"/>
      <c r="HB45" s="205"/>
      <c r="HC45" s="205"/>
      <c r="HD45" s="205"/>
      <c r="HE45" s="205"/>
      <c r="HF45" s="205"/>
      <c r="HG45" s="205"/>
      <c r="HH45" s="205"/>
      <c r="HI45" s="205"/>
      <c r="HJ45" s="205"/>
      <c r="HK45" s="205"/>
      <c r="HL45" s="205"/>
      <c r="HM45" s="205"/>
      <c r="HN45" s="205"/>
      <c r="HO45" s="205"/>
      <c r="HP45" s="205"/>
      <c r="HQ45" s="205"/>
      <c r="HR45" s="205"/>
      <c r="HS45" s="205"/>
      <c r="HT45" s="205"/>
      <c r="HU45" s="205"/>
      <c r="HV45" s="205"/>
      <c r="HW45" s="205"/>
      <c r="HX45" s="205"/>
      <c r="HY45" s="205"/>
      <c r="HZ45" s="205"/>
      <c r="IA45" s="205"/>
      <c r="IB45" s="205"/>
      <c r="IC45" s="205"/>
      <c r="ID45" s="205"/>
      <c r="IE45" s="205"/>
      <c r="IF45" s="205"/>
      <c r="IG45" s="205"/>
      <c r="IH45" s="205"/>
      <c r="II45" s="205"/>
      <c r="IJ45" s="205"/>
      <c r="IK45" s="205"/>
      <c r="IL45" s="205"/>
      <c r="IM45" s="205"/>
      <c r="IN45" s="205"/>
      <c r="IO45" s="205"/>
      <c r="IP45" s="205"/>
      <c r="IQ45" s="205"/>
      <c r="IR45" s="205"/>
      <c r="IS45" s="205"/>
      <c r="IT45" s="205"/>
      <c r="IU45" s="205"/>
      <c r="IV45" s="205"/>
    </row>
    <row r="46" spans="1:256" customFormat="1" ht="15.95" customHeight="1">
      <c r="A46" s="210" t="s">
        <v>1342</v>
      </c>
      <c r="B46" s="134">
        <f t="shared" si="9"/>
        <v>2382</v>
      </c>
      <c r="C46" s="134">
        <v>1113</v>
      </c>
      <c r="D46" s="134">
        <f t="shared" si="10"/>
        <v>1269</v>
      </c>
      <c r="E46" s="134">
        <v>778</v>
      </c>
      <c r="F46" s="134">
        <f>101+50</f>
        <v>151</v>
      </c>
      <c r="G46" s="134">
        <v>70</v>
      </c>
      <c r="H46" s="134">
        <v>270</v>
      </c>
      <c r="I46" s="134"/>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205"/>
      <c r="GF46" s="205"/>
      <c r="GG46" s="205"/>
      <c r="GH46" s="205"/>
      <c r="GI46" s="205"/>
      <c r="GJ46" s="205"/>
      <c r="GK46" s="205"/>
      <c r="GL46" s="205"/>
      <c r="GM46" s="205"/>
      <c r="GN46" s="205"/>
      <c r="GO46" s="205"/>
      <c r="GP46" s="205"/>
      <c r="GQ46" s="205"/>
      <c r="GR46" s="205"/>
      <c r="GS46" s="205"/>
      <c r="GT46" s="205"/>
      <c r="GU46" s="205"/>
      <c r="GV46" s="205"/>
      <c r="GW46" s="205"/>
      <c r="GX46" s="205"/>
      <c r="GY46" s="205"/>
      <c r="GZ46" s="205"/>
      <c r="HA46" s="205"/>
      <c r="HB46" s="205"/>
      <c r="HC46" s="205"/>
      <c r="HD46" s="205"/>
      <c r="HE46" s="205"/>
      <c r="HF46" s="205"/>
      <c r="HG46" s="205"/>
      <c r="HH46" s="205"/>
      <c r="HI46" s="205"/>
      <c r="HJ46" s="205"/>
      <c r="HK46" s="205"/>
      <c r="HL46" s="205"/>
      <c r="HM46" s="205"/>
      <c r="HN46" s="205"/>
      <c r="HO46" s="205"/>
      <c r="HP46" s="205"/>
      <c r="HQ46" s="205"/>
      <c r="HR46" s="205"/>
      <c r="HS46" s="205"/>
      <c r="HT46" s="205"/>
      <c r="HU46" s="205"/>
      <c r="HV46" s="205"/>
      <c r="HW46" s="205"/>
      <c r="HX46" s="205"/>
      <c r="HY46" s="205"/>
      <c r="HZ46" s="205"/>
      <c r="IA46" s="205"/>
      <c r="IB46" s="205"/>
      <c r="IC46" s="205"/>
      <c r="ID46" s="205"/>
      <c r="IE46" s="205"/>
      <c r="IF46" s="205"/>
      <c r="IG46" s="205"/>
      <c r="IH46" s="205"/>
      <c r="II46" s="205"/>
      <c r="IJ46" s="205"/>
      <c r="IK46" s="205"/>
      <c r="IL46" s="205"/>
      <c r="IM46" s="205"/>
      <c r="IN46" s="205"/>
      <c r="IO46" s="205"/>
      <c r="IP46" s="205"/>
      <c r="IQ46" s="205"/>
      <c r="IR46" s="205"/>
      <c r="IS46" s="205"/>
      <c r="IT46" s="205"/>
      <c r="IU46" s="205"/>
      <c r="IV46" s="205"/>
    </row>
    <row r="47" spans="1:256" customFormat="1" ht="15.95" customHeight="1">
      <c r="A47" s="209" t="s">
        <v>1343</v>
      </c>
      <c r="B47" s="134">
        <f t="shared" si="9"/>
        <v>60617</v>
      </c>
      <c r="C47" s="134">
        <f t="shared" ref="C47" si="17">SUM(C48:C60)</f>
        <v>21098</v>
      </c>
      <c r="D47" s="134">
        <f t="shared" si="10"/>
        <v>39519</v>
      </c>
      <c r="E47" s="134">
        <f t="shared" ref="E47:I47" si="18">SUM(E48:E60)</f>
        <v>11666</v>
      </c>
      <c r="F47" s="134">
        <f t="shared" si="18"/>
        <v>4629</v>
      </c>
      <c r="G47" s="134">
        <f t="shared" si="18"/>
        <v>11974</v>
      </c>
      <c r="H47" s="134">
        <f t="shared" si="18"/>
        <v>7660</v>
      </c>
      <c r="I47" s="134">
        <f t="shared" si="18"/>
        <v>3590</v>
      </c>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05"/>
      <c r="DZ47" s="205"/>
      <c r="EA47" s="205"/>
      <c r="EB47" s="205"/>
      <c r="EC47" s="205"/>
      <c r="ED47" s="205"/>
      <c r="EE47" s="205"/>
      <c r="EF47" s="205"/>
      <c r="EG47" s="205"/>
      <c r="EH47" s="205"/>
      <c r="EI47" s="205"/>
      <c r="EJ47" s="205"/>
      <c r="EK47" s="205"/>
      <c r="EL47" s="205"/>
      <c r="EM47" s="205"/>
      <c r="EN47" s="205"/>
      <c r="EO47" s="205"/>
      <c r="EP47" s="205"/>
      <c r="EQ47" s="205"/>
      <c r="ER47" s="205"/>
      <c r="ES47" s="205"/>
      <c r="ET47" s="205"/>
      <c r="EU47" s="205"/>
      <c r="EV47" s="205"/>
      <c r="EW47" s="205"/>
      <c r="EX47" s="205"/>
      <c r="EY47" s="205"/>
      <c r="EZ47" s="205"/>
      <c r="FA47" s="205"/>
      <c r="FB47" s="205"/>
      <c r="FC47" s="205"/>
      <c r="FD47" s="205"/>
      <c r="FE47" s="205"/>
      <c r="FF47" s="205"/>
      <c r="FG47" s="205"/>
      <c r="FH47" s="205"/>
      <c r="FI47" s="205"/>
      <c r="FJ47" s="205"/>
      <c r="FK47" s="205"/>
      <c r="FL47" s="205"/>
      <c r="FM47" s="205"/>
      <c r="FN47" s="205"/>
      <c r="FO47" s="205"/>
      <c r="FP47" s="205"/>
      <c r="FQ47" s="205"/>
      <c r="FR47" s="205"/>
      <c r="FS47" s="205"/>
      <c r="FT47" s="205"/>
      <c r="FU47" s="205"/>
      <c r="FV47" s="205"/>
      <c r="FW47" s="205"/>
      <c r="FX47" s="205"/>
      <c r="FY47" s="205"/>
      <c r="FZ47" s="205"/>
      <c r="GA47" s="205"/>
      <c r="GB47" s="205"/>
      <c r="GC47" s="205"/>
      <c r="GD47" s="205"/>
      <c r="GE47" s="205"/>
      <c r="GF47" s="205"/>
      <c r="GG47" s="205"/>
      <c r="GH47" s="205"/>
      <c r="GI47" s="205"/>
      <c r="GJ47" s="205"/>
      <c r="GK47" s="205"/>
      <c r="GL47" s="205"/>
      <c r="GM47" s="205"/>
      <c r="GN47" s="205"/>
      <c r="GO47" s="205"/>
      <c r="GP47" s="205"/>
      <c r="GQ47" s="205"/>
      <c r="GR47" s="205"/>
      <c r="GS47" s="205"/>
      <c r="GT47" s="205"/>
      <c r="GU47" s="205"/>
      <c r="GV47" s="205"/>
      <c r="GW47" s="205"/>
      <c r="GX47" s="205"/>
      <c r="GY47" s="205"/>
      <c r="GZ47" s="205"/>
      <c r="HA47" s="205"/>
      <c r="HB47" s="205"/>
      <c r="HC47" s="205"/>
      <c r="HD47" s="205"/>
      <c r="HE47" s="205"/>
      <c r="HF47" s="205"/>
      <c r="HG47" s="205"/>
      <c r="HH47" s="205"/>
      <c r="HI47" s="205"/>
      <c r="HJ47" s="205"/>
      <c r="HK47" s="205"/>
      <c r="HL47" s="205"/>
      <c r="HM47" s="205"/>
      <c r="HN47" s="205"/>
      <c r="HO47" s="205"/>
      <c r="HP47" s="205"/>
      <c r="HQ47" s="205"/>
      <c r="HR47" s="205"/>
      <c r="HS47" s="205"/>
      <c r="HT47" s="205"/>
      <c r="HU47" s="205"/>
      <c r="HV47" s="205"/>
      <c r="HW47" s="205"/>
      <c r="HX47" s="205"/>
      <c r="HY47" s="205"/>
      <c r="HZ47" s="205"/>
      <c r="IA47" s="205"/>
      <c r="IB47" s="205"/>
      <c r="IC47" s="205"/>
      <c r="ID47" s="205"/>
      <c r="IE47" s="205"/>
      <c r="IF47" s="205"/>
      <c r="IG47" s="205"/>
      <c r="IH47" s="205"/>
      <c r="II47" s="205"/>
      <c r="IJ47" s="205"/>
      <c r="IK47" s="205"/>
      <c r="IL47" s="205"/>
      <c r="IM47" s="205"/>
      <c r="IN47" s="205"/>
      <c r="IO47" s="205"/>
      <c r="IP47" s="205"/>
      <c r="IQ47" s="205"/>
      <c r="IR47" s="205"/>
      <c r="IS47" s="205"/>
      <c r="IT47" s="205"/>
      <c r="IU47" s="205"/>
      <c r="IV47" s="205"/>
    </row>
    <row r="48" spans="1:256" customFormat="1" ht="15.95" customHeight="1">
      <c r="A48" s="210" t="s">
        <v>1344</v>
      </c>
      <c r="B48" s="134">
        <f t="shared" si="9"/>
        <v>65</v>
      </c>
      <c r="C48" s="134">
        <v>12</v>
      </c>
      <c r="D48" s="134">
        <f t="shared" si="10"/>
        <v>53</v>
      </c>
      <c r="E48" s="134">
        <v>16</v>
      </c>
      <c r="F48" s="134">
        <v>13</v>
      </c>
      <c r="G48" s="134">
        <v>10</v>
      </c>
      <c r="H48" s="134">
        <v>7</v>
      </c>
      <c r="I48" s="134">
        <v>7</v>
      </c>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5"/>
      <c r="GE48" s="205"/>
      <c r="GF48" s="205"/>
      <c r="GG48" s="205"/>
      <c r="GH48" s="205"/>
      <c r="GI48" s="205"/>
      <c r="GJ48" s="205"/>
      <c r="GK48" s="205"/>
      <c r="GL48" s="205"/>
      <c r="GM48" s="205"/>
      <c r="GN48" s="205"/>
      <c r="GO48" s="205"/>
      <c r="GP48" s="205"/>
      <c r="GQ48" s="205"/>
      <c r="GR48" s="205"/>
      <c r="GS48" s="205"/>
      <c r="GT48" s="205"/>
      <c r="GU48" s="205"/>
      <c r="GV48" s="205"/>
      <c r="GW48" s="205"/>
      <c r="GX48" s="205"/>
      <c r="GY48" s="205"/>
      <c r="GZ48" s="205"/>
      <c r="HA48" s="205"/>
      <c r="HB48" s="205"/>
      <c r="HC48" s="205"/>
      <c r="HD48" s="205"/>
      <c r="HE48" s="205"/>
      <c r="HF48" s="205"/>
      <c r="HG48" s="205"/>
      <c r="HH48" s="205"/>
      <c r="HI48" s="205"/>
      <c r="HJ48" s="205"/>
      <c r="HK48" s="205"/>
      <c r="HL48" s="205"/>
      <c r="HM48" s="205"/>
      <c r="HN48" s="205"/>
      <c r="HO48" s="205"/>
      <c r="HP48" s="205"/>
      <c r="HQ48" s="205"/>
      <c r="HR48" s="205"/>
      <c r="HS48" s="205"/>
      <c r="HT48" s="205"/>
      <c r="HU48" s="205"/>
      <c r="HV48" s="205"/>
      <c r="HW48" s="205"/>
      <c r="HX48" s="205"/>
      <c r="HY48" s="205"/>
      <c r="HZ48" s="205"/>
      <c r="IA48" s="205"/>
      <c r="IB48" s="205"/>
      <c r="IC48" s="205"/>
      <c r="ID48" s="205"/>
      <c r="IE48" s="205"/>
      <c r="IF48" s="205"/>
      <c r="IG48" s="205"/>
      <c r="IH48" s="205"/>
      <c r="II48" s="205"/>
      <c r="IJ48" s="205"/>
      <c r="IK48" s="205"/>
      <c r="IL48" s="205"/>
      <c r="IM48" s="205"/>
      <c r="IN48" s="205"/>
      <c r="IO48" s="205"/>
      <c r="IP48" s="205"/>
      <c r="IQ48" s="205"/>
      <c r="IR48" s="205"/>
      <c r="IS48" s="205"/>
      <c r="IT48" s="205"/>
      <c r="IU48" s="205"/>
      <c r="IV48" s="205"/>
    </row>
    <row r="49" spans="1:256" customFormat="1" ht="15.95" customHeight="1">
      <c r="A49" s="210" t="s">
        <v>1345</v>
      </c>
      <c r="B49" s="134">
        <f t="shared" si="9"/>
        <v>1610</v>
      </c>
      <c r="C49" s="134"/>
      <c r="D49" s="134">
        <f t="shared" si="10"/>
        <v>1610</v>
      </c>
      <c r="E49" s="134">
        <v>274</v>
      </c>
      <c r="F49" s="134">
        <v>50</v>
      </c>
      <c r="G49" s="134">
        <v>504</v>
      </c>
      <c r="H49" s="134">
        <v>476</v>
      </c>
      <c r="I49" s="134">
        <v>306</v>
      </c>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5"/>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205"/>
      <c r="EZ49" s="205"/>
      <c r="FA49" s="205"/>
      <c r="FB49" s="205"/>
      <c r="FC49" s="205"/>
      <c r="FD49" s="205"/>
      <c r="FE49" s="205"/>
      <c r="FF49" s="205"/>
      <c r="FG49" s="205"/>
      <c r="FH49" s="205"/>
      <c r="FI49" s="205"/>
      <c r="FJ49" s="205"/>
      <c r="FK49" s="205"/>
      <c r="FL49" s="205"/>
      <c r="FM49" s="205"/>
      <c r="FN49" s="205"/>
      <c r="FO49" s="205"/>
      <c r="FP49" s="205"/>
      <c r="FQ49" s="205"/>
      <c r="FR49" s="205"/>
      <c r="FS49" s="205"/>
      <c r="FT49" s="205"/>
      <c r="FU49" s="205"/>
      <c r="FV49" s="205"/>
      <c r="FW49" s="205"/>
      <c r="FX49" s="205"/>
      <c r="FY49" s="205"/>
      <c r="FZ49" s="205"/>
      <c r="GA49" s="205"/>
      <c r="GB49" s="205"/>
      <c r="GC49" s="205"/>
      <c r="GD49" s="205"/>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5"/>
      <c r="HO49" s="205"/>
      <c r="HP49" s="205"/>
      <c r="HQ49" s="205"/>
      <c r="HR49" s="205"/>
      <c r="HS49" s="205"/>
      <c r="HT49" s="205"/>
      <c r="HU49" s="205"/>
      <c r="HV49" s="205"/>
      <c r="HW49" s="205"/>
      <c r="HX49" s="205"/>
      <c r="HY49" s="205"/>
      <c r="HZ49" s="205"/>
      <c r="IA49" s="205"/>
      <c r="IB49" s="205"/>
      <c r="IC49" s="205"/>
      <c r="ID49" s="205"/>
      <c r="IE49" s="205"/>
      <c r="IF49" s="205"/>
      <c r="IG49" s="205"/>
      <c r="IH49" s="205"/>
      <c r="II49" s="205"/>
      <c r="IJ49" s="205"/>
      <c r="IK49" s="205"/>
      <c r="IL49" s="205"/>
      <c r="IM49" s="205"/>
      <c r="IN49" s="205"/>
      <c r="IO49" s="205"/>
      <c r="IP49" s="205"/>
      <c r="IQ49" s="205"/>
      <c r="IR49" s="205"/>
      <c r="IS49" s="205"/>
      <c r="IT49" s="205"/>
      <c r="IU49" s="205"/>
      <c r="IV49" s="205"/>
    </row>
    <row r="50" spans="1:256" customFormat="1" ht="15.95" customHeight="1">
      <c r="A50" s="210" t="s">
        <v>1346</v>
      </c>
      <c r="B50" s="134">
        <f t="shared" si="9"/>
        <v>5690</v>
      </c>
      <c r="C50" s="134">
        <v>1483</v>
      </c>
      <c r="D50" s="134">
        <f t="shared" si="10"/>
        <v>4207</v>
      </c>
      <c r="E50" s="134">
        <v>1387</v>
      </c>
      <c r="F50" s="134">
        <v>678</v>
      </c>
      <c r="G50" s="134">
        <v>986</v>
      </c>
      <c r="H50" s="134">
        <v>959</v>
      </c>
      <c r="I50" s="134">
        <v>197</v>
      </c>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5"/>
      <c r="EB50" s="205"/>
      <c r="EC50" s="205"/>
      <c r="ED50" s="205"/>
      <c r="EE50" s="205"/>
      <c r="EF50" s="205"/>
      <c r="EG50" s="205"/>
      <c r="EH50" s="205"/>
      <c r="EI50" s="205"/>
      <c r="EJ50" s="205"/>
      <c r="EK50" s="205"/>
      <c r="EL50" s="205"/>
      <c r="EM50" s="205"/>
      <c r="EN50" s="205"/>
      <c r="EO50" s="205"/>
      <c r="EP50" s="205"/>
      <c r="EQ50" s="205"/>
      <c r="ER50" s="205"/>
      <c r="ES50" s="205"/>
      <c r="ET50" s="205"/>
      <c r="EU50" s="205"/>
      <c r="EV50" s="205"/>
      <c r="EW50" s="205"/>
      <c r="EX50" s="205"/>
      <c r="EY50" s="205"/>
      <c r="EZ50" s="205"/>
      <c r="FA50" s="205"/>
      <c r="FB50" s="205"/>
      <c r="FC50" s="205"/>
      <c r="FD50" s="205"/>
      <c r="FE50" s="205"/>
      <c r="FF50" s="205"/>
      <c r="FG50" s="205"/>
      <c r="FH50" s="205"/>
      <c r="FI50" s="205"/>
      <c r="FJ50" s="205"/>
      <c r="FK50" s="205"/>
      <c r="FL50" s="205"/>
      <c r="FM50" s="205"/>
      <c r="FN50" s="205"/>
      <c r="FO50" s="205"/>
      <c r="FP50" s="205"/>
      <c r="FQ50" s="205"/>
      <c r="FR50" s="205"/>
      <c r="FS50" s="205"/>
      <c r="FT50" s="205"/>
      <c r="FU50" s="205"/>
      <c r="FV50" s="205"/>
      <c r="FW50" s="205"/>
      <c r="FX50" s="205"/>
      <c r="FY50" s="205"/>
      <c r="FZ50" s="205"/>
      <c r="GA50" s="205"/>
      <c r="GB50" s="205"/>
      <c r="GC50" s="205"/>
      <c r="GD50" s="205"/>
      <c r="GE50" s="205"/>
      <c r="GF50" s="205"/>
      <c r="GG50" s="205"/>
      <c r="GH50" s="205"/>
      <c r="GI50" s="205"/>
      <c r="GJ50" s="205"/>
      <c r="GK50" s="205"/>
      <c r="GL50" s="205"/>
      <c r="GM50" s="205"/>
      <c r="GN50" s="205"/>
      <c r="GO50" s="205"/>
      <c r="GP50" s="205"/>
      <c r="GQ50" s="205"/>
      <c r="GR50" s="205"/>
      <c r="GS50" s="205"/>
      <c r="GT50" s="205"/>
      <c r="GU50" s="205"/>
      <c r="GV50" s="205"/>
      <c r="GW50" s="205"/>
      <c r="GX50" s="205"/>
      <c r="GY50" s="205"/>
      <c r="GZ50" s="205"/>
      <c r="HA50" s="205"/>
      <c r="HB50" s="205"/>
      <c r="HC50" s="205"/>
      <c r="HD50" s="205"/>
      <c r="HE50" s="205"/>
      <c r="HF50" s="205"/>
      <c r="HG50" s="205"/>
      <c r="HH50" s="205"/>
      <c r="HI50" s="205"/>
      <c r="HJ50" s="205"/>
      <c r="HK50" s="205"/>
      <c r="HL50" s="205"/>
      <c r="HM50" s="205"/>
      <c r="HN50" s="205"/>
      <c r="HO50" s="205"/>
      <c r="HP50" s="205"/>
      <c r="HQ50" s="205"/>
      <c r="HR50" s="205"/>
      <c r="HS50" s="205"/>
      <c r="HT50" s="205"/>
      <c r="HU50" s="205"/>
      <c r="HV50" s="205"/>
      <c r="HW50" s="205"/>
      <c r="HX50" s="205"/>
      <c r="HY50" s="205"/>
      <c r="HZ50" s="205"/>
      <c r="IA50" s="205"/>
      <c r="IB50" s="205"/>
      <c r="IC50" s="205"/>
      <c r="ID50" s="205"/>
      <c r="IE50" s="205"/>
      <c r="IF50" s="205"/>
      <c r="IG50" s="205"/>
      <c r="IH50" s="205"/>
      <c r="II50" s="205"/>
      <c r="IJ50" s="205"/>
      <c r="IK50" s="205"/>
      <c r="IL50" s="205"/>
      <c r="IM50" s="205"/>
      <c r="IN50" s="205"/>
      <c r="IO50" s="205"/>
      <c r="IP50" s="205"/>
      <c r="IQ50" s="205"/>
      <c r="IR50" s="205"/>
      <c r="IS50" s="205"/>
      <c r="IT50" s="205"/>
      <c r="IU50" s="205"/>
      <c r="IV50" s="205"/>
    </row>
    <row r="51" spans="1:256" customFormat="1" ht="15.95" customHeight="1">
      <c r="A51" s="210" t="s">
        <v>1347</v>
      </c>
      <c r="B51" s="134">
        <f t="shared" si="9"/>
        <v>14707</v>
      </c>
      <c r="C51" s="134">
        <f>7105-952</f>
        <v>6153</v>
      </c>
      <c r="D51" s="134">
        <f t="shared" si="10"/>
        <v>8554</v>
      </c>
      <c r="E51" s="134">
        <v>2000</v>
      </c>
      <c r="F51" s="134">
        <v>1227</v>
      </c>
      <c r="G51" s="134">
        <v>1852</v>
      </c>
      <c r="H51" s="134">
        <v>2131</v>
      </c>
      <c r="I51" s="134">
        <f>392+952</f>
        <v>1344</v>
      </c>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5"/>
      <c r="EB51" s="205"/>
      <c r="EC51" s="205"/>
      <c r="ED51" s="205"/>
      <c r="EE51" s="205"/>
      <c r="EF51" s="205"/>
      <c r="EG51" s="205"/>
      <c r="EH51" s="205"/>
      <c r="EI51" s="205"/>
      <c r="EJ51" s="205"/>
      <c r="EK51" s="205"/>
      <c r="EL51" s="205"/>
      <c r="EM51" s="205"/>
      <c r="EN51" s="205"/>
      <c r="EO51" s="205"/>
      <c r="EP51" s="205"/>
      <c r="EQ51" s="205"/>
      <c r="ER51" s="205"/>
      <c r="ES51" s="205"/>
      <c r="ET51" s="205"/>
      <c r="EU51" s="205"/>
      <c r="EV51" s="205"/>
      <c r="EW51" s="205"/>
      <c r="EX51" s="205"/>
      <c r="EY51" s="205"/>
      <c r="EZ51" s="205"/>
      <c r="FA51" s="205"/>
      <c r="FB51" s="205"/>
      <c r="FC51" s="205"/>
      <c r="FD51" s="205"/>
      <c r="FE51" s="205"/>
      <c r="FF51" s="205"/>
      <c r="FG51" s="205"/>
      <c r="FH51" s="205"/>
      <c r="FI51" s="205"/>
      <c r="FJ51" s="205"/>
      <c r="FK51" s="205"/>
      <c r="FL51" s="205"/>
      <c r="FM51" s="205"/>
      <c r="FN51" s="205"/>
      <c r="FO51" s="205"/>
      <c r="FP51" s="205"/>
      <c r="FQ51" s="205"/>
      <c r="FR51" s="205"/>
      <c r="FS51" s="205"/>
      <c r="FT51" s="205"/>
      <c r="FU51" s="205"/>
      <c r="FV51" s="205"/>
      <c r="FW51" s="205"/>
      <c r="FX51" s="205"/>
      <c r="FY51" s="205"/>
      <c r="FZ51" s="205"/>
      <c r="GA51" s="205"/>
      <c r="GB51" s="205"/>
      <c r="GC51" s="205"/>
      <c r="GD51" s="205"/>
      <c r="GE51" s="205"/>
      <c r="GF51" s="205"/>
      <c r="GG51" s="205"/>
      <c r="GH51" s="205"/>
      <c r="GI51" s="205"/>
      <c r="GJ51" s="205"/>
      <c r="GK51" s="205"/>
      <c r="GL51" s="205"/>
      <c r="GM51" s="205"/>
      <c r="GN51" s="205"/>
      <c r="GO51" s="205"/>
      <c r="GP51" s="205"/>
      <c r="GQ51" s="205"/>
      <c r="GR51" s="205"/>
      <c r="GS51" s="205"/>
      <c r="GT51" s="205"/>
      <c r="GU51" s="205"/>
      <c r="GV51" s="205"/>
      <c r="GW51" s="205"/>
      <c r="GX51" s="205"/>
      <c r="GY51" s="205"/>
      <c r="GZ51" s="205"/>
      <c r="HA51" s="205"/>
      <c r="HB51" s="205"/>
      <c r="HC51" s="205"/>
      <c r="HD51" s="205"/>
      <c r="HE51" s="205"/>
      <c r="HF51" s="205"/>
      <c r="HG51" s="205"/>
      <c r="HH51" s="205"/>
      <c r="HI51" s="205"/>
      <c r="HJ51" s="205"/>
      <c r="HK51" s="205"/>
      <c r="HL51" s="205"/>
      <c r="HM51" s="205"/>
      <c r="HN51" s="205"/>
      <c r="HO51" s="205"/>
      <c r="HP51" s="205"/>
      <c r="HQ51" s="205"/>
      <c r="HR51" s="205"/>
      <c r="HS51" s="205"/>
      <c r="HT51" s="205"/>
      <c r="HU51" s="205"/>
      <c r="HV51" s="205"/>
      <c r="HW51" s="205"/>
      <c r="HX51" s="205"/>
      <c r="HY51" s="205"/>
      <c r="HZ51" s="205"/>
      <c r="IA51" s="205"/>
      <c r="IB51" s="205"/>
      <c r="IC51" s="205"/>
      <c r="ID51" s="205"/>
      <c r="IE51" s="205"/>
      <c r="IF51" s="205"/>
      <c r="IG51" s="205"/>
      <c r="IH51" s="205"/>
      <c r="II51" s="205"/>
      <c r="IJ51" s="205"/>
      <c r="IK51" s="205"/>
      <c r="IL51" s="205"/>
      <c r="IM51" s="205"/>
      <c r="IN51" s="205"/>
      <c r="IO51" s="205"/>
      <c r="IP51" s="205"/>
      <c r="IQ51" s="205"/>
      <c r="IR51" s="205"/>
      <c r="IS51" s="205"/>
      <c r="IT51" s="205"/>
      <c r="IU51" s="205"/>
      <c r="IV51" s="205"/>
    </row>
    <row r="52" spans="1:256" customFormat="1" ht="15.95" customHeight="1">
      <c r="A52" s="210" t="s">
        <v>1348</v>
      </c>
      <c r="B52" s="134">
        <f t="shared" si="9"/>
        <v>3722</v>
      </c>
      <c r="C52" s="134">
        <v>50</v>
      </c>
      <c r="D52" s="134">
        <f t="shared" si="10"/>
        <v>3672</v>
      </c>
      <c r="E52" s="134">
        <v>1536</v>
      </c>
      <c r="F52" s="134">
        <f>256+12</f>
        <v>268</v>
      </c>
      <c r="G52" s="134">
        <v>606</v>
      </c>
      <c r="H52" s="134">
        <v>748</v>
      </c>
      <c r="I52" s="134">
        <v>514</v>
      </c>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5"/>
      <c r="EB52" s="205"/>
      <c r="EC52" s="205"/>
      <c r="ED52" s="205"/>
      <c r="EE52" s="205"/>
      <c r="EF52" s="205"/>
      <c r="EG52" s="205"/>
      <c r="EH52" s="205"/>
      <c r="EI52" s="205"/>
      <c r="EJ52" s="205"/>
      <c r="EK52" s="205"/>
      <c r="EL52" s="205"/>
      <c r="EM52" s="205"/>
      <c r="EN52" s="205"/>
      <c r="EO52" s="205"/>
      <c r="EP52" s="205"/>
      <c r="EQ52" s="205"/>
      <c r="ER52" s="205"/>
      <c r="ES52" s="205"/>
      <c r="ET52" s="205"/>
      <c r="EU52" s="205"/>
      <c r="EV52" s="205"/>
      <c r="EW52" s="205"/>
      <c r="EX52" s="205"/>
      <c r="EY52" s="205"/>
      <c r="EZ52" s="205"/>
      <c r="FA52" s="205"/>
      <c r="FB52" s="205"/>
      <c r="FC52" s="205"/>
      <c r="FD52" s="205"/>
      <c r="FE52" s="205"/>
      <c r="FF52" s="205"/>
      <c r="FG52" s="205"/>
      <c r="FH52" s="205"/>
      <c r="FI52" s="205"/>
      <c r="FJ52" s="205"/>
      <c r="FK52" s="205"/>
      <c r="FL52" s="205"/>
      <c r="FM52" s="205"/>
      <c r="FN52" s="205"/>
      <c r="FO52" s="205"/>
      <c r="FP52" s="205"/>
      <c r="FQ52" s="205"/>
      <c r="FR52" s="205"/>
      <c r="FS52" s="205"/>
      <c r="FT52" s="205"/>
      <c r="FU52" s="205"/>
      <c r="FV52" s="205"/>
      <c r="FW52" s="205"/>
      <c r="FX52" s="205"/>
      <c r="FY52" s="205"/>
      <c r="FZ52" s="205"/>
      <c r="GA52" s="205"/>
      <c r="GB52" s="205"/>
      <c r="GC52" s="205"/>
      <c r="GD52" s="205"/>
      <c r="GE52" s="205"/>
      <c r="GF52" s="205"/>
      <c r="GG52" s="205"/>
      <c r="GH52" s="205"/>
      <c r="GI52" s="205"/>
      <c r="GJ52" s="205"/>
      <c r="GK52" s="205"/>
      <c r="GL52" s="205"/>
      <c r="GM52" s="205"/>
      <c r="GN52" s="205"/>
      <c r="GO52" s="205"/>
      <c r="GP52" s="205"/>
      <c r="GQ52" s="205"/>
      <c r="GR52" s="205"/>
      <c r="GS52" s="205"/>
      <c r="GT52" s="205"/>
      <c r="GU52" s="205"/>
      <c r="GV52" s="205"/>
      <c r="GW52" s="205"/>
      <c r="GX52" s="205"/>
      <c r="GY52" s="205"/>
      <c r="GZ52" s="205"/>
      <c r="HA52" s="205"/>
      <c r="HB52" s="205"/>
      <c r="HC52" s="205"/>
      <c r="HD52" s="205"/>
      <c r="HE52" s="205"/>
      <c r="HF52" s="205"/>
      <c r="HG52" s="205"/>
      <c r="HH52" s="205"/>
      <c r="HI52" s="205"/>
      <c r="HJ52" s="205"/>
      <c r="HK52" s="205"/>
      <c r="HL52" s="205"/>
      <c r="HM52" s="205"/>
      <c r="HN52" s="205"/>
      <c r="HO52" s="205"/>
      <c r="HP52" s="205"/>
      <c r="HQ52" s="205"/>
      <c r="HR52" s="205"/>
      <c r="HS52" s="205"/>
      <c r="HT52" s="205"/>
      <c r="HU52" s="205"/>
      <c r="HV52" s="205"/>
      <c r="HW52" s="205"/>
      <c r="HX52" s="205"/>
      <c r="HY52" s="205"/>
      <c r="HZ52" s="205"/>
      <c r="IA52" s="205"/>
      <c r="IB52" s="205"/>
      <c r="IC52" s="205"/>
      <c r="ID52" s="205"/>
      <c r="IE52" s="205"/>
      <c r="IF52" s="205"/>
      <c r="IG52" s="205"/>
      <c r="IH52" s="205"/>
      <c r="II52" s="205"/>
      <c r="IJ52" s="205"/>
      <c r="IK52" s="205"/>
      <c r="IL52" s="205"/>
      <c r="IM52" s="205"/>
      <c r="IN52" s="205"/>
      <c r="IO52" s="205"/>
      <c r="IP52" s="205"/>
      <c r="IQ52" s="205"/>
      <c r="IR52" s="205"/>
      <c r="IS52" s="205"/>
      <c r="IT52" s="205"/>
      <c r="IU52" s="205"/>
      <c r="IV52" s="205"/>
    </row>
    <row r="53" spans="1:256" customFormat="1" ht="15.95" customHeight="1">
      <c r="A53" s="210" t="s">
        <v>1349</v>
      </c>
      <c r="B53" s="134">
        <f t="shared" si="9"/>
        <v>3185</v>
      </c>
      <c r="C53" s="134">
        <v>1216</v>
      </c>
      <c r="D53" s="134">
        <f t="shared" si="10"/>
        <v>1969</v>
      </c>
      <c r="E53" s="134">
        <v>1126</v>
      </c>
      <c r="F53" s="134">
        <f>114+34</f>
        <v>148</v>
      </c>
      <c r="G53" s="134">
        <v>387</v>
      </c>
      <c r="H53" s="134">
        <v>210</v>
      </c>
      <c r="I53" s="134">
        <v>98</v>
      </c>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5"/>
      <c r="EJ53" s="205"/>
      <c r="EK53" s="205"/>
      <c r="EL53" s="205"/>
      <c r="EM53" s="205"/>
      <c r="EN53" s="205"/>
      <c r="EO53" s="205"/>
      <c r="EP53" s="205"/>
      <c r="EQ53" s="205"/>
      <c r="ER53" s="205"/>
      <c r="ES53" s="205"/>
      <c r="ET53" s="205"/>
      <c r="EU53" s="205"/>
      <c r="EV53" s="205"/>
      <c r="EW53" s="205"/>
      <c r="EX53" s="205"/>
      <c r="EY53" s="205"/>
      <c r="EZ53" s="205"/>
      <c r="FA53" s="205"/>
      <c r="FB53" s="205"/>
      <c r="FC53" s="205"/>
      <c r="FD53" s="205"/>
      <c r="FE53" s="205"/>
      <c r="FF53" s="205"/>
      <c r="FG53" s="205"/>
      <c r="FH53" s="205"/>
      <c r="FI53" s="205"/>
      <c r="FJ53" s="205"/>
      <c r="FK53" s="205"/>
      <c r="FL53" s="205"/>
      <c r="FM53" s="205"/>
      <c r="FN53" s="205"/>
      <c r="FO53" s="205"/>
      <c r="FP53" s="205"/>
      <c r="FQ53" s="205"/>
      <c r="FR53" s="205"/>
      <c r="FS53" s="205"/>
      <c r="FT53" s="205"/>
      <c r="FU53" s="205"/>
      <c r="FV53" s="205"/>
      <c r="FW53" s="205"/>
      <c r="FX53" s="205"/>
      <c r="FY53" s="205"/>
      <c r="FZ53" s="205"/>
      <c r="GA53" s="205"/>
      <c r="GB53" s="205"/>
      <c r="GC53" s="205"/>
      <c r="GD53" s="205"/>
      <c r="GE53" s="205"/>
      <c r="GF53" s="205"/>
      <c r="GG53" s="205"/>
      <c r="GH53" s="205"/>
      <c r="GI53" s="205"/>
      <c r="GJ53" s="205"/>
      <c r="GK53" s="205"/>
      <c r="GL53" s="205"/>
      <c r="GM53" s="205"/>
      <c r="GN53" s="205"/>
      <c r="GO53" s="205"/>
      <c r="GP53" s="205"/>
      <c r="GQ53" s="205"/>
      <c r="GR53" s="205"/>
      <c r="GS53" s="205"/>
      <c r="GT53" s="205"/>
      <c r="GU53" s="205"/>
      <c r="GV53" s="205"/>
      <c r="GW53" s="205"/>
      <c r="GX53" s="205"/>
      <c r="GY53" s="205"/>
      <c r="GZ53" s="205"/>
      <c r="HA53" s="205"/>
      <c r="HB53" s="205"/>
      <c r="HC53" s="205"/>
      <c r="HD53" s="205"/>
      <c r="HE53" s="205"/>
      <c r="HF53" s="205"/>
      <c r="HG53" s="205"/>
      <c r="HH53" s="205"/>
      <c r="HI53" s="205"/>
      <c r="HJ53" s="205"/>
      <c r="HK53" s="205"/>
      <c r="HL53" s="205"/>
      <c r="HM53" s="205"/>
      <c r="HN53" s="205"/>
      <c r="HO53" s="205"/>
      <c r="HP53" s="205"/>
      <c r="HQ53" s="205"/>
      <c r="HR53" s="205"/>
      <c r="HS53" s="205"/>
      <c r="HT53" s="205"/>
      <c r="HU53" s="205"/>
      <c r="HV53" s="205"/>
      <c r="HW53" s="205"/>
      <c r="HX53" s="205"/>
      <c r="HY53" s="205"/>
      <c r="HZ53" s="205"/>
      <c r="IA53" s="205"/>
      <c r="IB53" s="205"/>
      <c r="IC53" s="205"/>
      <c r="ID53" s="205"/>
      <c r="IE53" s="205"/>
      <c r="IF53" s="205"/>
      <c r="IG53" s="205"/>
      <c r="IH53" s="205"/>
      <c r="II53" s="205"/>
      <c r="IJ53" s="205"/>
      <c r="IK53" s="205"/>
      <c r="IL53" s="205"/>
      <c r="IM53" s="205"/>
      <c r="IN53" s="205"/>
      <c r="IO53" s="205"/>
      <c r="IP53" s="205"/>
      <c r="IQ53" s="205"/>
      <c r="IR53" s="205"/>
      <c r="IS53" s="205"/>
      <c r="IT53" s="205"/>
      <c r="IU53" s="205"/>
      <c r="IV53" s="205"/>
    </row>
    <row r="54" spans="1:256" customFormat="1" ht="15.95" customHeight="1">
      <c r="A54" s="210" t="s">
        <v>1350</v>
      </c>
      <c r="B54" s="134">
        <f t="shared" si="9"/>
        <v>1298</v>
      </c>
      <c r="C54" s="134">
        <v>124</v>
      </c>
      <c r="D54" s="134">
        <f t="shared" si="10"/>
        <v>1174</v>
      </c>
      <c r="E54" s="134">
        <v>328</v>
      </c>
      <c r="F54" s="134">
        <v>163</v>
      </c>
      <c r="G54" s="134">
        <v>293</v>
      </c>
      <c r="H54" s="134">
        <v>314</v>
      </c>
      <c r="I54" s="134">
        <v>76</v>
      </c>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205"/>
      <c r="EZ54" s="205"/>
      <c r="FA54" s="205"/>
      <c r="FB54" s="205"/>
      <c r="FC54" s="205"/>
      <c r="FD54" s="205"/>
      <c r="FE54" s="205"/>
      <c r="FF54" s="205"/>
      <c r="FG54" s="205"/>
      <c r="FH54" s="205"/>
      <c r="FI54" s="205"/>
      <c r="FJ54" s="205"/>
      <c r="FK54" s="205"/>
      <c r="FL54" s="205"/>
      <c r="FM54" s="205"/>
      <c r="FN54" s="205"/>
      <c r="FO54" s="205"/>
      <c r="FP54" s="205"/>
      <c r="FQ54" s="205"/>
      <c r="FR54" s="205"/>
      <c r="FS54" s="205"/>
      <c r="FT54" s="205"/>
      <c r="FU54" s="205"/>
      <c r="FV54" s="205"/>
      <c r="FW54" s="205"/>
      <c r="FX54" s="205"/>
      <c r="FY54" s="205"/>
      <c r="FZ54" s="205"/>
      <c r="GA54" s="205"/>
      <c r="GB54" s="205"/>
      <c r="GC54" s="205"/>
      <c r="GD54" s="205"/>
      <c r="GE54" s="205"/>
      <c r="GF54" s="205"/>
      <c r="GG54" s="205"/>
      <c r="GH54" s="205"/>
      <c r="GI54" s="205"/>
      <c r="GJ54" s="205"/>
      <c r="GK54" s="205"/>
      <c r="GL54" s="205"/>
      <c r="GM54" s="205"/>
      <c r="GN54" s="205"/>
      <c r="GO54" s="205"/>
      <c r="GP54" s="205"/>
      <c r="GQ54" s="205"/>
      <c r="GR54" s="205"/>
      <c r="GS54" s="205"/>
      <c r="GT54" s="205"/>
      <c r="GU54" s="205"/>
      <c r="GV54" s="205"/>
      <c r="GW54" s="205"/>
      <c r="GX54" s="205"/>
      <c r="GY54" s="205"/>
      <c r="GZ54" s="205"/>
      <c r="HA54" s="205"/>
      <c r="HB54" s="205"/>
      <c r="HC54" s="205"/>
      <c r="HD54" s="205"/>
      <c r="HE54" s="205"/>
      <c r="HF54" s="205"/>
      <c r="HG54" s="205"/>
      <c r="HH54" s="205"/>
      <c r="HI54" s="205"/>
      <c r="HJ54" s="205"/>
      <c r="HK54" s="205"/>
      <c r="HL54" s="205"/>
      <c r="HM54" s="205"/>
      <c r="HN54" s="205"/>
      <c r="HO54" s="205"/>
      <c r="HP54" s="205"/>
      <c r="HQ54" s="205"/>
      <c r="HR54" s="205"/>
      <c r="HS54" s="205"/>
      <c r="HT54" s="205"/>
      <c r="HU54" s="205"/>
      <c r="HV54" s="205"/>
      <c r="HW54" s="205"/>
      <c r="HX54" s="205"/>
      <c r="HY54" s="205"/>
      <c r="HZ54" s="205"/>
      <c r="IA54" s="205"/>
      <c r="IB54" s="205"/>
      <c r="IC54" s="205"/>
      <c r="ID54" s="205"/>
      <c r="IE54" s="205"/>
      <c r="IF54" s="205"/>
      <c r="IG54" s="205"/>
      <c r="IH54" s="205"/>
      <c r="II54" s="205"/>
      <c r="IJ54" s="205"/>
      <c r="IK54" s="205"/>
      <c r="IL54" s="205"/>
      <c r="IM54" s="205"/>
      <c r="IN54" s="205"/>
      <c r="IO54" s="205"/>
      <c r="IP54" s="205"/>
      <c r="IQ54" s="205"/>
      <c r="IR54" s="205"/>
      <c r="IS54" s="205"/>
      <c r="IT54" s="205"/>
      <c r="IU54" s="205"/>
      <c r="IV54" s="205"/>
    </row>
    <row r="55" spans="1:256" customFormat="1" ht="15.95" customHeight="1">
      <c r="A55" s="210" t="s">
        <v>1351</v>
      </c>
      <c r="B55" s="134">
        <f t="shared" si="9"/>
        <v>991</v>
      </c>
      <c r="C55" s="134">
        <v>114</v>
      </c>
      <c r="D55" s="134">
        <f t="shared" si="10"/>
        <v>877</v>
      </c>
      <c r="E55" s="134">
        <v>294</v>
      </c>
      <c r="F55" s="134">
        <v>138</v>
      </c>
      <c r="G55" s="134">
        <v>182</v>
      </c>
      <c r="H55" s="134">
        <v>201</v>
      </c>
      <c r="I55" s="134">
        <v>62</v>
      </c>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205"/>
      <c r="FK55" s="205"/>
      <c r="FL55" s="205"/>
      <c r="FM55" s="205"/>
      <c r="FN55" s="205"/>
      <c r="FO55" s="205"/>
      <c r="FP55" s="205"/>
      <c r="FQ55" s="205"/>
      <c r="FR55" s="205"/>
      <c r="FS55" s="205"/>
      <c r="FT55" s="205"/>
      <c r="FU55" s="205"/>
      <c r="FV55" s="205"/>
      <c r="FW55" s="205"/>
      <c r="FX55" s="205"/>
      <c r="FY55" s="205"/>
      <c r="FZ55" s="205"/>
      <c r="GA55" s="205"/>
      <c r="GB55" s="205"/>
      <c r="GC55" s="205"/>
      <c r="GD55" s="205"/>
      <c r="GE55" s="205"/>
      <c r="GF55" s="205"/>
      <c r="GG55" s="205"/>
      <c r="GH55" s="205"/>
      <c r="GI55" s="205"/>
      <c r="GJ55" s="205"/>
      <c r="GK55" s="205"/>
      <c r="GL55" s="205"/>
      <c r="GM55" s="205"/>
      <c r="GN55" s="205"/>
      <c r="GO55" s="205"/>
      <c r="GP55" s="205"/>
      <c r="GQ55" s="205"/>
      <c r="GR55" s="205"/>
      <c r="GS55" s="205"/>
      <c r="GT55" s="205"/>
      <c r="GU55" s="205"/>
      <c r="GV55" s="205"/>
      <c r="GW55" s="205"/>
      <c r="GX55" s="205"/>
      <c r="GY55" s="205"/>
      <c r="GZ55" s="205"/>
      <c r="HA55" s="205"/>
      <c r="HB55" s="205"/>
      <c r="HC55" s="205"/>
      <c r="HD55" s="205"/>
      <c r="HE55" s="205"/>
      <c r="HF55" s="205"/>
      <c r="HG55" s="205"/>
      <c r="HH55" s="205"/>
      <c r="HI55" s="205"/>
      <c r="HJ55" s="205"/>
      <c r="HK55" s="205"/>
      <c r="HL55" s="205"/>
      <c r="HM55" s="205"/>
      <c r="HN55" s="205"/>
      <c r="HO55" s="205"/>
      <c r="HP55" s="205"/>
      <c r="HQ55" s="205"/>
      <c r="HR55" s="205"/>
      <c r="HS55" s="205"/>
      <c r="HT55" s="205"/>
      <c r="HU55" s="205"/>
      <c r="HV55" s="205"/>
      <c r="HW55" s="205"/>
      <c r="HX55" s="205"/>
      <c r="HY55" s="205"/>
      <c r="HZ55" s="205"/>
      <c r="IA55" s="205"/>
      <c r="IB55" s="205"/>
      <c r="IC55" s="205"/>
      <c r="ID55" s="205"/>
      <c r="IE55" s="205"/>
      <c r="IF55" s="205"/>
      <c r="IG55" s="205"/>
      <c r="IH55" s="205"/>
      <c r="II55" s="205"/>
      <c r="IJ55" s="205"/>
      <c r="IK55" s="205"/>
      <c r="IL55" s="205"/>
      <c r="IM55" s="205"/>
      <c r="IN55" s="205"/>
      <c r="IO55" s="205"/>
      <c r="IP55" s="205"/>
      <c r="IQ55" s="205"/>
      <c r="IR55" s="205"/>
      <c r="IS55" s="205"/>
      <c r="IT55" s="205"/>
      <c r="IU55" s="205"/>
      <c r="IV55" s="205"/>
    </row>
    <row r="56" spans="1:256" customFormat="1" ht="15.95" hidden="1" customHeight="1">
      <c r="A56" s="210" t="s">
        <v>1352</v>
      </c>
      <c r="B56" s="134">
        <f t="shared" si="9"/>
        <v>0</v>
      </c>
      <c r="C56" s="134"/>
      <c r="D56" s="134">
        <f t="shared" si="10"/>
        <v>0</v>
      </c>
      <c r="E56" s="134"/>
      <c r="F56" s="134"/>
      <c r="G56" s="134"/>
      <c r="H56" s="134"/>
      <c r="I56" s="134"/>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205"/>
      <c r="FK56" s="205"/>
      <c r="FL56" s="205"/>
      <c r="FM56" s="205"/>
      <c r="FN56" s="205"/>
      <c r="FO56" s="205"/>
      <c r="FP56" s="205"/>
      <c r="FQ56" s="205"/>
      <c r="FR56" s="205"/>
      <c r="FS56" s="205"/>
      <c r="FT56" s="205"/>
      <c r="FU56" s="205"/>
      <c r="FV56" s="205"/>
      <c r="FW56" s="205"/>
      <c r="FX56" s="205"/>
      <c r="FY56" s="205"/>
      <c r="FZ56" s="205"/>
      <c r="GA56" s="205"/>
      <c r="GB56" s="205"/>
      <c r="GC56" s="205"/>
      <c r="GD56" s="205"/>
      <c r="GE56" s="205"/>
      <c r="GF56" s="205"/>
      <c r="GG56" s="205"/>
      <c r="GH56" s="205"/>
      <c r="GI56" s="205"/>
      <c r="GJ56" s="205"/>
      <c r="GK56" s="205"/>
      <c r="GL56" s="205"/>
      <c r="GM56" s="205"/>
      <c r="GN56" s="205"/>
      <c r="GO56" s="205"/>
      <c r="GP56" s="205"/>
      <c r="GQ56" s="205"/>
      <c r="GR56" s="205"/>
      <c r="GS56" s="205"/>
      <c r="GT56" s="205"/>
      <c r="GU56" s="205"/>
      <c r="GV56" s="205"/>
      <c r="GW56" s="205"/>
      <c r="GX56" s="205"/>
      <c r="GY56" s="205"/>
      <c r="GZ56" s="205"/>
      <c r="HA56" s="205"/>
      <c r="HB56" s="205"/>
      <c r="HC56" s="205"/>
      <c r="HD56" s="205"/>
      <c r="HE56" s="205"/>
      <c r="HF56" s="205"/>
      <c r="HG56" s="205"/>
      <c r="HH56" s="205"/>
      <c r="HI56" s="205"/>
      <c r="HJ56" s="205"/>
      <c r="HK56" s="205"/>
      <c r="HL56" s="205"/>
      <c r="HM56" s="205"/>
      <c r="HN56" s="205"/>
      <c r="HO56" s="205"/>
      <c r="HP56" s="205"/>
      <c r="HQ56" s="205"/>
      <c r="HR56" s="205"/>
      <c r="HS56" s="205"/>
      <c r="HT56" s="205"/>
      <c r="HU56" s="205"/>
      <c r="HV56" s="205"/>
      <c r="HW56" s="205"/>
      <c r="HX56" s="205"/>
      <c r="HY56" s="205"/>
      <c r="HZ56" s="205"/>
      <c r="IA56" s="205"/>
      <c r="IB56" s="205"/>
      <c r="IC56" s="205"/>
      <c r="ID56" s="205"/>
      <c r="IE56" s="205"/>
      <c r="IF56" s="205"/>
      <c r="IG56" s="205"/>
      <c r="IH56" s="205"/>
      <c r="II56" s="205"/>
      <c r="IJ56" s="205"/>
      <c r="IK56" s="205"/>
      <c r="IL56" s="205"/>
      <c r="IM56" s="205"/>
      <c r="IN56" s="205"/>
      <c r="IO56" s="205"/>
      <c r="IP56" s="205"/>
      <c r="IQ56" s="205"/>
      <c r="IR56" s="205"/>
      <c r="IS56" s="205"/>
      <c r="IT56" s="205"/>
      <c r="IU56" s="205"/>
      <c r="IV56" s="205"/>
    </row>
    <row r="57" spans="1:256" customFormat="1" ht="15.95" hidden="1" customHeight="1">
      <c r="A57" s="210" t="s">
        <v>1353</v>
      </c>
      <c r="B57" s="134">
        <f t="shared" si="9"/>
        <v>0</v>
      </c>
      <c r="C57" s="134"/>
      <c r="D57" s="134">
        <f t="shared" si="10"/>
        <v>0</v>
      </c>
      <c r="E57" s="134"/>
      <c r="F57" s="134"/>
      <c r="G57" s="134"/>
      <c r="H57" s="134"/>
      <c r="I57" s="134"/>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205"/>
      <c r="FK57" s="205"/>
      <c r="FL57" s="205"/>
      <c r="FM57" s="205"/>
      <c r="FN57" s="205"/>
      <c r="FO57" s="205"/>
      <c r="FP57" s="205"/>
      <c r="FQ57" s="205"/>
      <c r="FR57" s="205"/>
      <c r="FS57" s="205"/>
      <c r="FT57" s="205"/>
      <c r="FU57" s="205"/>
      <c r="FV57" s="205"/>
      <c r="FW57" s="205"/>
      <c r="FX57" s="205"/>
      <c r="FY57" s="205"/>
      <c r="FZ57" s="205"/>
      <c r="GA57" s="205"/>
      <c r="GB57" s="205"/>
      <c r="GC57" s="205"/>
      <c r="GD57" s="205"/>
      <c r="GE57" s="205"/>
      <c r="GF57" s="205"/>
      <c r="GG57" s="205"/>
      <c r="GH57" s="205"/>
      <c r="GI57" s="205"/>
      <c r="GJ57" s="205"/>
      <c r="GK57" s="205"/>
      <c r="GL57" s="205"/>
      <c r="GM57" s="205"/>
      <c r="GN57" s="205"/>
      <c r="GO57" s="205"/>
      <c r="GP57" s="205"/>
      <c r="GQ57" s="205"/>
      <c r="GR57" s="205"/>
      <c r="GS57" s="205"/>
      <c r="GT57" s="205"/>
      <c r="GU57" s="205"/>
      <c r="GV57" s="205"/>
      <c r="GW57" s="205"/>
      <c r="GX57" s="205"/>
      <c r="GY57" s="205"/>
      <c r="GZ57" s="205"/>
      <c r="HA57" s="205"/>
      <c r="HB57" s="205"/>
      <c r="HC57" s="205"/>
      <c r="HD57" s="205"/>
      <c r="HE57" s="205"/>
      <c r="HF57" s="205"/>
      <c r="HG57" s="205"/>
      <c r="HH57" s="205"/>
      <c r="HI57" s="205"/>
      <c r="HJ57" s="205"/>
      <c r="HK57" s="205"/>
      <c r="HL57" s="205"/>
      <c r="HM57" s="205"/>
      <c r="HN57" s="205"/>
      <c r="HO57" s="205"/>
      <c r="HP57" s="205"/>
      <c r="HQ57" s="205"/>
      <c r="HR57" s="205"/>
      <c r="HS57" s="205"/>
      <c r="HT57" s="205"/>
      <c r="HU57" s="205"/>
      <c r="HV57" s="205"/>
      <c r="HW57" s="205"/>
      <c r="HX57" s="205"/>
      <c r="HY57" s="205"/>
      <c r="HZ57" s="205"/>
      <c r="IA57" s="205"/>
      <c r="IB57" s="205"/>
      <c r="IC57" s="205"/>
      <c r="ID57" s="205"/>
      <c r="IE57" s="205"/>
      <c r="IF57" s="205"/>
      <c r="IG57" s="205"/>
      <c r="IH57" s="205"/>
      <c r="II57" s="205"/>
      <c r="IJ57" s="205"/>
      <c r="IK57" s="205"/>
      <c r="IL57" s="205"/>
      <c r="IM57" s="205"/>
      <c r="IN57" s="205"/>
      <c r="IO57" s="205"/>
      <c r="IP57" s="205"/>
      <c r="IQ57" s="205"/>
      <c r="IR57" s="205"/>
      <c r="IS57" s="205"/>
      <c r="IT57" s="205"/>
      <c r="IU57" s="205"/>
      <c r="IV57" s="205"/>
    </row>
    <row r="58" spans="1:256" customFormat="1" ht="15.95" hidden="1" customHeight="1">
      <c r="A58" s="210" t="s">
        <v>1354</v>
      </c>
      <c r="B58" s="134">
        <f t="shared" si="9"/>
        <v>0</v>
      </c>
      <c r="C58" s="134"/>
      <c r="D58" s="134">
        <f t="shared" si="10"/>
        <v>0</v>
      </c>
      <c r="E58" s="134"/>
      <c r="F58" s="134"/>
      <c r="G58" s="134"/>
      <c r="H58" s="134"/>
      <c r="I58" s="134"/>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205"/>
      <c r="FK58" s="205"/>
      <c r="FL58" s="205"/>
      <c r="FM58" s="205"/>
      <c r="FN58" s="205"/>
      <c r="FO58" s="205"/>
      <c r="FP58" s="205"/>
      <c r="FQ58" s="205"/>
      <c r="FR58" s="205"/>
      <c r="FS58" s="205"/>
      <c r="FT58" s="205"/>
      <c r="FU58" s="205"/>
      <c r="FV58" s="205"/>
      <c r="FW58" s="205"/>
      <c r="FX58" s="205"/>
      <c r="FY58" s="205"/>
      <c r="FZ58" s="205"/>
      <c r="GA58" s="205"/>
      <c r="GB58" s="205"/>
      <c r="GC58" s="205"/>
      <c r="GD58" s="205"/>
      <c r="GE58" s="205"/>
      <c r="GF58" s="205"/>
      <c r="GG58" s="205"/>
      <c r="GH58" s="205"/>
      <c r="GI58" s="205"/>
      <c r="GJ58" s="205"/>
      <c r="GK58" s="205"/>
      <c r="GL58" s="205"/>
      <c r="GM58" s="205"/>
      <c r="GN58" s="205"/>
      <c r="GO58" s="205"/>
      <c r="GP58" s="205"/>
      <c r="GQ58" s="205"/>
      <c r="GR58" s="205"/>
      <c r="GS58" s="205"/>
      <c r="GT58" s="205"/>
      <c r="GU58" s="205"/>
      <c r="GV58" s="205"/>
      <c r="GW58" s="205"/>
      <c r="GX58" s="205"/>
      <c r="GY58" s="205"/>
      <c r="GZ58" s="205"/>
      <c r="HA58" s="205"/>
      <c r="HB58" s="205"/>
      <c r="HC58" s="205"/>
      <c r="HD58" s="205"/>
      <c r="HE58" s="205"/>
      <c r="HF58" s="205"/>
      <c r="HG58" s="205"/>
      <c r="HH58" s="205"/>
      <c r="HI58" s="205"/>
      <c r="HJ58" s="205"/>
      <c r="HK58" s="205"/>
      <c r="HL58" s="205"/>
      <c r="HM58" s="205"/>
      <c r="HN58" s="205"/>
      <c r="HO58" s="205"/>
      <c r="HP58" s="205"/>
      <c r="HQ58" s="205"/>
      <c r="HR58" s="205"/>
      <c r="HS58" s="205"/>
      <c r="HT58" s="205"/>
      <c r="HU58" s="205"/>
      <c r="HV58" s="205"/>
      <c r="HW58" s="205"/>
      <c r="HX58" s="205"/>
      <c r="HY58" s="205"/>
      <c r="HZ58" s="205"/>
      <c r="IA58" s="205"/>
      <c r="IB58" s="205"/>
      <c r="IC58" s="205"/>
      <c r="ID58" s="205"/>
      <c r="IE58" s="205"/>
      <c r="IF58" s="205"/>
      <c r="IG58" s="205"/>
      <c r="IH58" s="205"/>
      <c r="II58" s="205"/>
      <c r="IJ58" s="205"/>
      <c r="IK58" s="205"/>
      <c r="IL58" s="205"/>
      <c r="IM58" s="205"/>
      <c r="IN58" s="205"/>
      <c r="IO58" s="205"/>
      <c r="IP58" s="205"/>
      <c r="IQ58" s="205"/>
      <c r="IR58" s="205"/>
      <c r="IS58" s="205"/>
      <c r="IT58" s="205"/>
      <c r="IU58" s="205"/>
      <c r="IV58" s="205"/>
    </row>
    <row r="59" spans="1:256" customFormat="1" ht="15.95" customHeight="1">
      <c r="A59" s="210" t="s">
        <v>1355</v>
      </c>
      <c r="B59" s="134">
        <f t="shared" si="9"/>
        <v>9673</v>
      </c>
      <c r="C59" s="134">
        <v>9673</v>
      </c>
      <c r="D59" s="134">
        <f t="shared" si="10"/>
        <v>0</v>
      </c>
      <c r="E59" s="134"/>
      <c r="F59" s="134"/>
      <c r="G59" s="134"/>
      <c r="H59" s="134"/>
      <c r="I59" s="134"/>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205"/>
      <c r="FK59" s="205"/>
      <c r="FL59" s="205"/>
      <c r="FM59" s="205"/>
      <c r="FN59" s="205"/>
      <c r="FO59" s="205"/>
      <c r="FP59" s="205"/>
      <c r="FQ59" s="205"/>
      <c r="FR59" s="205"/>
      <c r="FS59" s="205"/>
      <c r="FT59" s="205"/>
      <c r="FU59" s="205"/>
      <c r="FV59" s="205"/>
      <c r="FW59" s="205"/>
      <c r="FX59" s="205"/>
      <c r="FY59" s="205"/>
      <c r="FZ59" s="205"/>
      <c r="GA59" s="205"/>
      <c r="GB59" s="205"/>
      <c r="GC59" s="205"/>
      <c r="GD59" s="205"/>
      <c r="GE59" s="205"/>
      <c r="GF59" s="205"/>
      <c r="GG59" s="205"/>
      <c r="GH59" s="205"/>
      <c r="GI59" s="205"/>
      <c r="GJ59" s="205"/>
      <c r="GK59" s="205"/>
      <c r="GL59" s="205"/>
      <c r="GM59" s="205"/>
      <c r="GN59" s="205"/>
      <c r="GO59" s="205"/>
      <c r="GP59" s="205"/>
      <c r="GQ59" s="205"/>
      <c r="GR59" s="205"/>
      <c r="GS59" s="205"/>
      <c r="GT59" s="205"/>
      <c r="GU59" s="205"/>
      <c r="GV59" s="205"/>
      <c r="GW59" s="205"/>
      <c r="GX59" s="205"/>
      <c r="GY59" s="205"/>
      <c r="GZ59" s="205"/>
      <c r="HA59" s="205"/>
      <c r="HB59" s="205"/>
      <c r="HC59" s="205"/>
      <c r="HD59" s="205"/>
      <c r="HE59" s="205"/>
      <c r="HF59" s="205"/>
      <c r="HG59" s="205"/>
      <c r="HH59" s="205"/>
      <c r="HI59" s="205"/>
      <c r="HJ59" s="205"/>
      <c r="HK59" s="205"/>
      <c r="HL59" s="205"/>
      <c r="HM59" s="205"/>
      <c r="HN59" s="205"/>
      <c r="HO59" s="205"/>
      <c r="HP59" s="205"/>
      <c r="HQ59" s="205"/>
      <c r="HR59" s="205"/>
      <c r="HS59" s="205"/>
      <c r="HT59" s="205"/>
      <c r="HU59" s="205"/>
      <c r="HV59" s="205"/>
      <c r="HW59" s="205"/>
      <c r="HX59" s="205"/>
      <c r="HY59" s="205"/>
      <c r="HZ59" s="205"/>
      <c r="IA59" s="205"/>
      <c r="IB59" s="205"/>
      <c r="IC59" s="205"/>
      <c r="ID59" s="205"/>
      <c r="IE59" s="205"/>
      <c r="IF59" s="205"/>
      <c r="IG59" s="205"/>
      <c r="IH59" s="205"/>
      <c r="II59" s="205"/>
      <c r="IJ59" s="205"/>
      <c r="IK59" s="205"/>
      <c r="IL59" s="205"/>
      <c r="IM59" s="205"/>
      <c r="IN59" s="205"/>
      <c r="IO59" s="205"/>
      <c r="IP59" s="205"/>
      <c r="IQ59" s="205"/>
      <c r="IR59" s="205"/>
      <c r="IS59" s="205"/>
      <c r="IT59" s="205"/>
      <c r="IU59" s="205"/>
      <c r="IV59" s="205"/>
    </row>
    <row r="60" spans="1:256" customFormat="1" ht="15.95" customHeight="1">
      <c r="A60" s="210" t="s">
        <v>1356</v>
      </c>
      <c r="B60" s="134">
        <f t="shared" si="9"/>
        <v>19676</v>
      </c>
      <c r="C60" s="134">
        <f>3273-1000</f>
        <v>2273</v>
      </c>
      <c r="D60" s="134">
        <f t="shared" si="10"/>
        <v>17403</v>
      </c>
      <c r="E60" s="134">
        <v>4705</v>
      </c>
      <c r="F60" s="134">
        <f>1269+175+500</f>
        <v>1944</v>
      </c>
      <c r="G60" s="134">
        <v>7154</v>
      </c>
      <c r="H60" s="134">
        <v>2614</v>
      </c>
      <c r="I60" s="134">
        <f>486+500</f>
        <v>986</v>
      </c>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c r="IN60" s="205"/>
      <c r="IO60" s="205"/>
      <c r="IP60" s="205"/>
      <c r="IQ60" s="205"/>
      <c r="IR60" s="205"/>
      <c r="IS60" s="205"/>
      <c r="IT60" s="205"/>
      <c r="IU60" s="205"/>
      <c r="IV60" s="205"/>
    </row>
    <row r="61" spans="1:256" customFormat="1" ht="15.95" customHeight="1">
      <c r="A61" s="209" t="s">
        <v>1357</v>
      </c>
      <c r="B61" s="134">
        <f t="shared" si="9"/>
        <v>38758</v>
      </c>
      <c r="C61" s="134">
        <f t="shared" ref="C61" si="19">SUM(C62:C72)</f>
        <v>15225</v>
      </c>
      <c r="D61" s="134">
        <f t="shared" si="10"/>
        <v>23533</v>
      </c>
      <c r="E61" s="134">
        <f t="shared" ref="E61:I61" si="20">SUM(E62:E72)</f>
        <v>5354</v>
      </c>
      <c r="F61" s="134">
        <f t="shared" si="20"/>
        <v>4547</v>
      </c>
      <c r="G61" s="134">
        <f t="shared" si="20"/>
        <v>8590</v>
      </c>
      <c r="H61" s="134">
        <f t="shared" si="20"/>
        <v>3288</v>
      </c>
      <c r="I61" s="134">
        <f t="shared" si="20"/>
        <v>1754</v>
      </c>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205"/>
      <c r="FK61" s="205"/>
      <c r="FL61" s="205"/>
      <c r="FM61" s="205"/>
      <c r="FN61" s="205"/>
      <c r="FO61" s="205"/>
      <c r="FP61" s="205"/>
      <c r="FQ61" s="205"/>
      <c r="FR61" s="205"/>
      <c r="FS61" s="205"/>
      <c r="FT61" s="205"/>
      <c r="FU61" s="205"/>
      <c r="FV61" s="205"/>
      <c r="FW61" s="205"/>
      <c r="FX61" s="205"/>
      <c r="FY61" s="205"/>
      <c r="FZ61" s="205"/>
      <c r="GA61" s="205"/>
      <c r="GB61" s="205"/>
      <c r="GC61" s="205"/>
      <c r="GD61" s="205"/>
      <c r="GE61" s="205"/>
      <c r="GF61" s="205"/>
      <c r="GG61" s="205"/>
      <c r="GH61" s="205"/>
      <c r="GI61" s="205"/>
      <c r="GJ61" s="205"/>
      <c r="GK61" s="205"/>
      <c r="GL61" s="205"/>
      <c r="GM61" s="205"/>
      <c r="GN61" s="205"/>
      <c r="GO61" s="205"/>
      <c r="GP61" s="205"/>
      <c r="GQ61" s="205"/>
      <c r="GR61" s="205"/>
      <c r="GS61" s="205"/>
      <c r="GT61" s="205"/>
      <c r="GU61" s="205"/>
      <c r="GV61" s="205"/>
      <c r="GW61" s="205"/>
      <c r="GX61" s="205"/>
      <c r="GY61" s="205"/>
      <c r="GZ61" s="205"/>
      <c r="HA61" s="205"/>
      <c r="HB61" s="205"/>
      <c r="HC61" s="205"/>
      <c r="HD61" s="205"/>
      <c r="HE61" s="205"/>
      <c r="HF61" s="205"/>
      <c r="HG61" s="205"/>
      <c r="HH61" s="205"/>
      <c r="HI61" s="205"/>
      <c r="HJ61" s="205"/>
      <c r="HK61" s="205"/>
      <c r="HL61" s="205"/>
      <c r="HM61" s="205"/>
      <c r="HN61" s="205"/>
      <c r="HO61" s="205"/>
      <c r="HP61" s="205"/>
      <c r="HQ61" s="205"/>
      <c r="HR61" s="205"/>
      <c r="HS61" s="205"/>
      <c r="HT61" s="205"/>
      <c r="HU61" s="205"/>
      <c r="HV61" s="205"/>
      <c r="HW61" s="205"/>
      <c r="HX61" s="205"/>
      <c r="HY61" s="205"/>
      <c r="HZ61" s="205"/>
      <c r="IA61" s="205"/>
      <c r="IB61" s="205"/>
      <c r="IC61" s="205"/>
      <c r="ID61" s="205"/>
      <c r="IE61" s="205"/>
      <c r="IF61" s="205"/>
      <c r="IG61" s="205"/>
      <c r="IH61" s="205"/>
      <c r="II61" s="205"/>
      <c r="IJ61" s="205"/>
      <c r="IK61" s="205"/>
      <c r="IL61" s="205"/>
      <c r="IM61" s="205"/>
      <c r="IN61" s="205"/>
      <c r="IO61" s="205"/>
      <c r="IP61" s="205"/>
      <c r="IQ61" s="205"/>
      <c r="IR61" s="205"/>
      <c r="IS61" s="205"/>
      <c r="IT61" s="205"/>
      <c r="IU61" s="205"/>
      <c r="IV61" s="205"/>
    </row>
    <row r="62" spans="1:256" customFormat="1" ht="15.95" customHeight="1">
      <c r="A62" s="210" t="s">
        <v>1358</v>
      </c>
      <c r="B62" s="134">
        <f t="shared" si="9"/>
        <v>2413</v>
      </c>
      <c r="C62" s="134">
        <v>836</v>
      </c>
      <c r="D62" s="134">
        <f t="shared" si="10"/>
        <v>1577</v>
      </c>
      <c r="E62" s="134">
        <v>550</v>
      </c>
      <c r="F62" s="134">
        <f>196+510</f>
        <v>706</v>
      </c>
      <c r="G62" s="134">
        <v>233</v>
      </c>
      <c r="H62" s="134">
        <v>88</v>
      </c>
      <c r="I62" s="134"/>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c r="IE62" s="205"/>
      <c r="IF62" s="205"/>
      <c r="IG62" s="205"/>
      <c r="IH62" s="205"/>
      <c r="II62" s="205"/>
      <c r="IJ62" s="205"/>
      <c r="IK62" s="205"/>
      <c r="IL62" s="205"/>
      <c r="IM62" s="205"/>
      <c r="IN62" s="205"/>
      <c r="IO62" s="205"/>
      <c r="IP62" s="205"/>
      <c r="IQ62" s="205"/>
      <c r="IR62" s="205"/>
      <c r="IS62" s="205"/>
      <c r="IT62" s="205"/>
      <c r="IU62" s="205"/>
      <c r="IV62" s="205"/>
    </row>
    <row r="63" spans="1:256" customFormat="1" ht="15.95" customHeight="1">
      <c r="A63" s="210" t="s">
        <v>1359</v>
      </c>
      <c r="B63" s="134">
        <f t="shared" si="9"/>
        <v>1541</v>
      </c>
      <c r="C63" s="134">
        <v>30</v>
      </c>
      <c r="D63" s="134">
        <f t="shared" si="10"/>
        <v>1511</v>
      </c>
      <c r="E63" s="134">
        <v>537</v>
      </c>
      <c r="F63" s="134">
        <f>213+27</f>
        <v>240</v>
      </c>
      <c r="G63" s="134">
        <v>332</v>
      </c>
      <c r="H63" s="134">
        <v>242</v>
      </c>
      <c r="I63" s="134">
        <v>160</v>
      </c>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c r="IE63" s="205"/>
      <c r="IF63" s="205"/>
      <c r="IG63" s="205"/>
      <c r="IH63" s="205"/>
      <c r="II63" s="205"/>
      <c r="IJ63" s="205"/>
      <c r="IK63" s="205"/>
      <c r="IL63" s="205"/>
      <c r="IM63" s="205"/>
      <c r="IN63" s="205"/>
      <c r="IO63" s="205"/>
      <c r="IP63" s="205"/>
      <c r="IQ63" s="205"/>
      <c r="IR63" s="205"/>
      <c r="IS63" s="205"/>
      <c r="IT63" s="205"/>
      <c r="IU63" s="205"/>
      <c r="IV63" s="205"/>
    </row>
    <row r="64" spans="1:256" customFormat="1" ht="15.95" customHeight="1">
      <c r="A64" s="210" t="s">
        <v>1360</v>
      </c>
      <c r="B64" s="134">
        <f t="shared" si="9"/>
        <v>11987</v>
      </c>
      <c r="C64" s="134">
        <f>4535-2500</f>
        <v>2035</v>
      </c>
      <c r="D64" s="134">
        <f t="shared" si="10"/>
        <v>9952</v>
      </c>
      <c r="E64" s="134">
        <f>2423+500</f>
        <v>2923</v>
      </c>
      <c r="F64" s="134">
        <f>638+601+500</f>
        <v>1739</v>
      </c>
      <c r="G64" s="134">
        <f>1581+500</f>
        <v>2081</v>
      </c>
      <c r="H64" s="134">
        <f>1429+500</f>
        <v>1929</v>
      </c>
      <c r="I64" s="134">
        <f>780+500</f>
        <v>1280</v>
      </c>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c r="IE64" s="205"/>
      <c r="IF64" s="205"/>
      <c r="IG64" s="205"/>
      <c r="IH64" s="205"/>
      <c r="II64" s="205"/>
      <c r="IJ64" s="205"/>
      <c r="IK64" s="205"/>
      <c r="IL64" s="205"/>
      <c r="IM64" s="205"/>
      <c r="IN64" s="205"/>
      <c r="IO64" s="205"/>
      <c r="IP64" s="205"/>
      <c r="IQ64" s="205"/>
      <c r="IR64" s="205"/>
      <c r="IS64" s="205"/>
      <c r="IT64" s="205"/>
      <c r="IU64" s="205"/>
      <c r="IV64" s="205"/>
    </row>
    <row r="65" spans="1:256" customFormat="1" ht="15.95" customHeight="1">
      <c r="A65" s="210" t="s">
        <v>1361</v>
      </c>
      <c r="B65" s="134">
        <f t="shared" si="9"/>
        <v>422</v>
      </c>
      <c r="C65" s="134">
        <v>74</v>
      </c>
      <c r="D65" s="134">
        <f t="shared" si="10"/>
        <v>348</v>
      </c>
      <c r="E65" s="134">
        <v>88</v>
      </c>
      <c r="F65" s="134">
        <v>210</v>
      </c>
      <c r="G65" s="134">
        <v>50</v>
      </c>
      <c r="H65" s="134"/>
      <c r="I65" s="134"/>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c r="IE65" s="205"/>
      <c r="IF65" s="205"/>
      <c r="IG65" s="205"/>
      <c r="IH65" s="205"/>
      <c r="II65" s="205"/>
      <c r="IJ65" s="205"/>
      <c r="IK65" s="205"/>
      <c r="IL65" s="205"/>
      <c r="IM65" s="205"/>
      <c r="IN65" s="205"/>
      <c r="IO65" s="205"/>
      <c r="IP65" s="205"/>
      <c r="IQ65" s="205"/>
      <c r="IR65" s="205"/>
      <c r="IS65" s="205"/>
      <c r="IT65" s="205"/>
      <c r="IU65" s="205"/>
      <c r="IV65" s="205"/>
    </row>
    <row r="66" spans="1:256" customFormat="1" ht="15.95" customHeight="1">
      <c r="A66" s="210" t="s">
        <v>1362</v>
      </c>
      <c r="B66" s="134">
        <f t="shared" si="9"/>
        <v>1042</v>
      </c>
      <c r="C66" s="134"/>
      <c r="D66" s="134">
        <f t="shared" si="10"/>
        <v>1042</v>
      </c>
      <c r="E66" s="134">
        <v>344</v>
      </c>
      <c r="F66" s="134">
        <f>9+119</f>
        <v>128</v>
      </c>
      <c r="G66" s="134">
        <v>175</v>
      </c>
      <c r="H66" s="134">
        <v>302</v>
      </c>
      <c r="I66" s="134">
        <v>93</v>
      </c>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5"/>
      <c r="ID66" s="205"/>
      <c r="IE66" s="205"/>
      <c r="IF66" s="205"/>
      <c r="IG66" s="205"/>
      <c r="IH66" s="205"/>
      <c r="II66" s="205"/>
      <c r="IJ66" s="205"/>
      <c r="IK66" s="205"/>
      <c r="IL66" s="205"/>
      <c r="IM66" s="205"/>
      <c r="IN66" s="205"/>
      <c r="IO66" s="205"/>
      <c r="IP66" s="205"/>
      <c r="IQ66" s="205"/>
      <c r="IR66" s="205"/>
      <c r="IS66" s="205"/>
      <c r="IT66" s="205"/>
      <c r="IU66" s="205"/>
      <c r="IV66" s="205"/>
    </row>
    <row r="67" spans="1:256" customFormat="1" ht="15.95" customHeight="1">
      <c r="A67" s="210" t="s">
        <v>1363</v>
      </c>
      <c r="B67" s="134">
        <f t="shared" si="9"/>
        <v>12151</v>
      </c>
      <c r="C67" s="134">
        <f>15000-2849</f>
        <v>12151</v>
      </c>
      <c r="D67" s="134">
        <f t="shared" si="10"/>
        <v>0</v>
      </c>
      <c r="E67" s="134"/>
      <c r="F67" s="134"/>
      <c r="G67" s="134"/>
      <c r="H67" s="134"/>
      <c r="I67" s="134"/>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c r="GD67" s="205"/>
      <c r="GE67" s="205"/>
      <c r="GF67" s="205"/>
      <c r="GG67" s="205"/>
      <c r="GH67" s="205"/>
      <c r="GI67" s="205"/>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c r="HM67" s="205"/>
      <c r="HN67" s="205"/>
      <c r="HO67" s="205"/>
      <c r="HP67" s="205"/>
      <c r="HQ67" s="205"/>
      <c r="HR67" s="205"/>
      <c r="HS67" s="205"/>
      <c r="HT67" s="205"/>
      <c r="HU67" s="205"/>
      <c r="HV67" s="205"/>
      <c r="HW67" s="205"/>
      <c r="HX67" s="205"/>
      <c r="HY67" s="205"/>
      <c r="HZ67" s="205"/>
      <c r="IA67" s="205"/>
      <c r="IB67" s="205"/>
      <c r="IC67" s="205"/>
      <c r="ID67" s="205"/>
      <c r="IE67" s="205"/>
      <c r="IF67" s="205"/>
      <c r="IG67" s="205"/>
      <c r="IH67" s="205"/>
      <c r="II67" s="205"/>
      <c r="IJ67" s="205"/>
      <c r="IK67" s="205"/>
      <c r="IL67" s="205"/>
      <c r="IM67" s="205"/>
      <c r="IN67" s="205"/>
      <c r="IO67" s="205"/>
      <c r="IP67" s="205"/>
      <c r="IQ67" s="205"/>
      <c r="IR67" s="205"/>
      <c r="IS67" s="205"/>
      <c r="IT67" s="205"/>
      <c r="IU67" s="205"/>
      <c r="IV67" s="205"/>
    </row>
    <row r="68" spans="1:256" customFormat="1" ht="15.95" customHeight="1">
      <c r="A68" s="210" t="s">
        <v>1364</v>
      </c>
      <c r="B68" s="134">
        <f t="shared" si="9"/>
        <v>802</v>
      </c>
      <c r="C68" s="134"/>
      <c r="D68" s="134">
        <f t="shared" si="10"/>
        <v>802</v>
      </c>
      <c r="E68" s="134">
        <v>369</v>
      </c>
      <c r="F68" s="134">
        <v>229</v>
      </c>
      <c r="G68" s="134">
        <v>112</v>
      </c>
      <c r="H68" s="134">
        <v>77</v>
      </c>
      <c r="I68" s="134">
        <v>15</v>
      </c>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c r="HM68" s="205"/>
      <c r="HN68" s="205"/>
      <c r="HO68" s="205"/>
      <c r="HP68" s="205"/>
      <c r="HQ68" s="205"/>
      <c r="HR68" s="205"/>
      <c r="HS68" s="205"/>
      <c r="HT68" s="205"/>
      <c r="HU68" s="205"/>
      <c r="HV68" s="205"/>
      <c r="HW68" s="205"/>
      <c r="HX68" s="205"/>
      <c r="HY68" s="205"/>
      <c r="HZ68" s="205"/>
      <c r="IA68" s="205"/>
      <c r="IB68" s="205"/>
      <c r="IC68" s="205"/>
      <c r="ID68" s="205"/>
      <c r="IE68" s="205"/>
      <c r="IF68" s="205"/>
      <c r="IG68" s="205"/>
      <c r="IH68" s="205"/>
      <c r="II68" s="205"/>
      <c r="IJ68" s="205"/>
      <c r="IK68" s="205"/>
      <c r="IL68" s="205"/>
      <c r="IM68" s="205"/>
      <c r="IN68" s="205"/>
      <c r="IO68" s="205"/>
      <c r="IP68" s="205"/>
      <c r="IQ68" s="205"/>
      <c r="IR68" s="205"/>
      <c r="IS68" s="205"/>
      <c r="IT68" s="205"/>
      <c r="IU68" s="205"/>
      <c r="IV68" s="205"/>
    </row>
    <row r="69" spans="1:256" customFormat="1" ht="15.95" customHeight="1">
      <c r="A69" s="210" t="s">
        <v>1365</v>
      </c>
      <c r="B69" s="134">
        <f t="shared" si="9"/>
        <v>187</v>
      </c>
      <c r="C69" s="134"/>
      <c r="D69" s="134">
        <f t="shared" si="10"/>
        <v>187</v>
      </c>
      <c r="E69" s="134">
        <v>81</v>
      </c>
      <c r="F69" s="134">
        <v>9</v>
      </c>
      <c r="G69" s="134">
        <v>36</v>
      </c>
      <c r="H69" s="134">
        <v>32</v>
      </c>
      <c r="I69" s="134">
        <v>29</v>
      </c>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205"/>
      <c r="GF69" s="205"/>
      <c r="GG69" s="205"/>
      <c r="GH69" s="205"/>
      <c r="GI69" s="205"/>
      <c r="GJ69" s="205"/>
      <c r="GK69" s="205"/>
      <c r="GL69" s="205"/>
      <c r="GM69" s="205"/>
      <c r="GN69" s="205"/>
      <c r="GO69" s="205"/>
      <c r="GP69" s="205"/>
      <c r="GQ69" s="205"/>
      <c r="GR69" s="205"/>
      <c r="GS69" s="205"/>
      <c r="GT69" s="205"/>
      <c r="GU69" s="205"/>
      <c r="GV69" s="205"/>
      <c r="GW69" s="205"/>
      <c r="GX69" s="205"/>
      <c r="GY69" s="205"/>
      <c r="GZ69" s="205"/>
      <c r="HA69" s="205"/>
      <c r="HB69" s="205"/>
      <c r="HC69" s="205"/>
      <c r="HD69" s="205"/>
      <c r="HE69" s="205"/>
      <c r="HF69" s="205"/>
      <c r="HG69" s="205"/>
      <c r="HH69" s="205"/>
      <c r="HI69" s="205"/>
      <c r="HJ69" s="205"/>
      <c r="HK69" s="205"/>
      <c r="HL69" s="205"/>
      <c r="HM69" s="205"/>
      <c r="HN69" s="205"/>
      <c r="HO69" s="205"/>
      <c r="HP69" s="205"/>
      <c r="HQ69" s="205"/>
      <c r="HR69" s="205"/>
      <c r="HS69" s="205"/>
      <c r="HT69" s="205"/>
      <c r="HU69" s="205"/>
      <c r="HV69" s="205"/>
      <c r="HW69" s="205"/>
      <c r="HX69" s="205"/>
      <c r="HY69" s="205"/>
      <c r="HZ69" s="205"/>
      <c r="IA69" s="205"/>
      <c r="IB69" s="205"/>
      <c r="IC69" s="205"/>
      <c r="ID69" s="205"/>
      <c r="IE69" s="205"/>
      <c r="IF69" s="205"/>
      <c r="IG69" s="205"/>
      <c r="IH69" s="205"/>
      <c r="II69" s="205"/>
      <c r="IJ69" s="205"/>
      <c r="IK69" s="205"/>
      <c r="IL69" s="205"/>
      <c r="IM69" s="205"/>
      <c r="IN69" s="205"/>
      <c r="IO69" s="205"/>
      <c r="IP69" s="205"/>
      <c r="IQ69" s="205"/>
      <c r="IR69" s="205"/>
      <c r="IS69" s="205"/>
      <c r="IT69" s="205"/>
      <c r="IU69" s="205"/>
      <c r="IV69" s="205"/>
    </row>
    <row r="70" spans="1:256" customFormat="1" ht="15.95" customHeight="1">
      <c r="A70" s="210" t="s">
        <v>1366</v>
      </c>
      <c r="B70" s="134">
        <f t="shared" si="9"/>
        <v>116</v>
      </c>
      <c r="C70" s="134">
        <v>76</v>
      </c>
      <c r="D70" s="134">
        <f t="shared" si="10"/>
        <v>40</v>
      </c>
      <c r="E70" s="134">
        <v>10</v>
      </c>
      <c r="F70" s="134">
        <v>10</v>
      </c>
      <c r="G70" s="134">
        <v>10</v>
      </c>
      <c r="H70" s="134">
        <v>10</v>
      </c>
      <c r="I70" s="134"/>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205"/>
      <c r="EQ70" s="205"/>
      <c r="ER70" s="205"/>
      <c r="ES70" s="205"/>
      <c r="ET70" s="205"/>
      <c r="EU70" s="205"/>
      <c r="EV70" s="205"/>
      <c r="EW70" s="205"/>
      <c r="EX70" s="205"/>
      <c r="EY70" s="205"/>
      <c r="EZ70" s="205"/>
      <c r="FA70" s="205"/>
      <c r="FB70" s="205"/>
      <c r="FC70" s="205"/>
      <c r="FD70" s="205"/>
      <c r="FE70" s="205"/>
      <c r="FF70" s="205"/>
      <c r="FG70" s="205"/>
      <c r="FH70" s="205"/>
      <c r="FI70" s="205"/>
      <c r="FJ70" s="205"/>
      <c r="FK70" s="205"/>
      <c r="FL70" s="205"/>
      <c r="FM70" s="205"/>
      <c r="FN70" s="205"/>
      <c r="FO70" s="205"/>
      <c r="FP70" s="205"/>
      <c r="FQ70" s="205"/>
      <c r="FR70" s="205"/>
      <c r="FS70" s="205"/>
      <c r="FT70" s="205"/>
      <c r="FU70" s="205"/>
      <c r="FV70" s="205"/>
      <c r="FW70" s="205"/>
      <c r="FX70" s="205"/>
      <c r="FY70" s="205"/>
      <c r="FZ70" s="205"/>
      <c r="GA70" s="205"/>
      <c r="GB70" s="205"/>
      <c r="GC70" s="205"/>
      <c r="GD70" s="205"/>
      <c r="GE70" s="205"/>
      <c r="GF70" s="205"/>
      <c r="GG70" s="205"/>
      <c r="GH70" s="205"/>
      <c r="GI70" s="205"/>
      <c r="GJ70" s="205"/>
      <c r="GK70" s="205"/>
      <c r="GL70" s="205"/>
      <c r="GM70" s="205"/>
      <c r="GN70" s="205"/>
      <c r="GO70" s="205"/>
      <c r="GP70" s="205"/>
      <c r="GQ70" s="205"/>
      <c r="GR70" s="205"/>
      <c r="GS70" s="205"/>
      <c r="GT70" s="205"/>
      <c r="GU70" s="205"/>
      <c r="GV70" s="205"/>
      <c r="GW70" s="205"/>
      <c r="GX70" s="205"/>
      <c r="GY70" s="205"/>
      <c r="GZ70" s="205"/>
      <c r="HA70" s="205"/>
      <c r="HB70" s="205"/>
      <c r="HC70" s="205"/>
      <c r="HD70" s="205"/>
      <c r="HE70" s="205"/>
      <c r="HF70" s="205"/>
      <c r="HG70" s="205"/>
      <c r="HH70" s="205"/>
      <c r="HI70" s="205"/>
      <c r="HJ70" s="205"/>
      <c r="HK70" s="205"/>
      <c r="HL70" s="205"/>
      <c r="HM70" s="205"/>
      <c r="HN70" s="205"/>
      <c r="HO70" s="205"/>
      <c r="HP70" s="205"/>
      <c r="HQ70" s="205"/>
      <c r="HR70" s="205"/>
      <c r="HS70" s="205"/>
      <c r="HT70" s="205"/>
      <c r="HU70" s="205"/>
      <c r="HV70" s="205"/>
      <c r="HW70" s="205"/>
      <c r="HX70" s="205"/>
      <c r="HY70" s="205"/>
      <c r="HZ70" s="205"/>
      <c r="IA70" s="205"/>
      <c r="IB70" s="205"/>
      <c r="IC70" s="205"/>
      <c r="ID70" s="205"/>
      <c r="IE70" s="205"/>
      <c r="IF70" s="205"/>
      <c r="IG70" s="205"/>
      <c r="IH70" s="205"/>
      <c r="II70" s="205"/>
      <c r="IJ70" s="205"/>
      <c r="IK70" s="205"/>
      <c r="IL70" s="205"/>
      <c r="IM70" s="205"/>
      <c r="IN70" s="205"/>
      <c r="IO70" s="205"/>
      <c r="IP70" s="205"/>
      <c r="IQ70" s="205"/>
      <c r="IR70" s="205"/>
      <c r="IS70" s="205"/>
      <c r="IT70" s="205"/>
      <c r="IU70" s="205"/>
      <c r="IV70" s="205"/>
    </row>
    <row r="71" spans="1:256" customFormat="1" ht="15.95" customHeight="1">
      <c r="A71" s="210" t="s">
        <v>1367</v>
      </c>
      <c r="B71" s="134">
        <f t="shared" si="9"/>
        <v>1974</v>
      </c>
      <c r="C71" s="134"/>
      <c r="D71" s="134">
        <f t="shared" si="10"/>
        <v>1974</v>
      </c>
      <c r="E71" s="134">
        <v>452</v>
      </c>
      <c r="F71" s="134">
        <v>176</v>
      </c>
      <c r="G71" s="134">
        <v>561</v>
      </c>
      <c r="H71" s="134">
        <v>608</v>
      </c>
      <c r="I71" s="134">
        <v>177</v>
      </c>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c r="EC71" s="205"/>
      <c r="ED71" s="205"/>
      <c r="EE71" s="205"/>
      <c r="EF71" s="205"/>
      <c r="EG71" s="205"/>
      <c r="EH71" s="205"/>
      <c r="EI71" s="205"/>
      <c r="EJ71" s="205"/>
      <c r="EK71" s="205"/>
      <c r="EL71" s="205"/>
      <c r="EM71" s="205"/>
      <c r="EN71" s="205"/>
      <c r="EO71" s="205"/>
      <c r="EP71" s="205"/>
      <c r="EQ71" s="205"/>
      <c r="ER71" s="205"/>
      <c r="ES71" s="205"/>
      <c r="ET71" s="205"/>
      <c r="EU71" s="205"/>
      <c r="EV71" s="205"/>
      <c r="EW71" s="205"/>
      <c r="EX71" s="205"/>
      <c r="EY71" s="205"/>
      <c r="EZ71" s="205"/>
      <c r="FA71" s="205"/>
      <c r="FB71" s="205"/>
      <c r="FC71" s="205"/>
      <c r="FD71" s="205"/>
      <c r="FE71" s="205"/>
      <c r="FF71" s="205"/>
      <c r="FG71" s="205"/>
      <c r="FH71" s="205"/>
      <c r="FI71" s="205"/>
      <c r="FJ71" s="205"/>
      <c r="FK71" s="205"/>
      <c r="FL71" s="205"/>
      <c r="FM71" s="205"/>
      <c r="FN71" s="205"/>
      <c r="FO71" s="205"/>
      <c r="FP71" s="205"/>
      <c r="FQ71" s="205"/>
      <c r="FR71" s="205"/>
      <c r="FS71" s="205"/>
      <c r="FT71" s="205"/>
      <c r="FU71" s="205"/>
      <c r="FV71" s="205"/>
      <c r="FW71" s="205"/>
      <c r="FX71" s="205"/>
      <c r="FY71" s="205"/>
      <c r="FZ71" s="205"/>
      <c r="GA71" s="205"/>
      <c r="GB71" s="205"/>
      <c r="GC71" s="205"/>
      <c r="GD71" s="205"/>
      <c r="GE71" s="205"/>
      <c r="GF71" s="205"/>
      <c r="GG71" s="205"/>
      <c r="GH71" s="205"/>
      <c r="GI71" s="205"/>
      <c r="GJ71" s="205"/>
      <c r="GK71" s="205"/>
      <c r="GL71" s="205"/>
      <c r="GM71" s="205"/>
      <c r="GN71" s="205"/>
      <c r="GO71" s="205"/>
      <c r="GP71" s="205"/>
      <c r="GQ71" s="205"/>
      <c r="GR71" s="205"/>
      <c r="GS71" s="205"/>
      <c r="GT71" s="205"/>
      <c r="GU71" s="205"/>
      <c r="GV71" s="205"/>
      <c r="GW71" s="205"/>
      <c r="GX71" s="205"/>
      <c r="GY71" s="205"/>
      <c r="GZ71" s="205"/>
      <c r="HA71" s="205"/>
      <c r="HB71" s="205"/>
      <c r="HC71" s="205"/>
      <c r="HD71" s="205"/>
      <c r="HE71" s="205"/>
      <c r="HF71" s="205"/>
      <c r="HG71" s="205"/>
      <c r="HH71" s="205"/>
      <c r="HI71" s="205"/>
      <c r="HJ71" s="205"/>
      <c r="HK71" s="205"/>
      <c r="HL71" s="205"/>
      <c r="HM71" s="205"/>
      <c r="HN71" s="205"/>
      <c r="HO71" s="205"/>
      <c r="HP71" s="205"/>
      <c r="HQ71" s="205"/>
      <c r="HR71" s="205"/>
      <c r="HS71" s="205"/>
      <c r="HT71" s="205"/>
      <c r="HU71" s="205"/>
      <c r="HV71" s="205"/>
      <c r="HW71" s="205"/>
      <c r="HX71" s="205"/>
      <c r="HY71" s="205"/>
      <c r="HZ71" s="205"/>
      <c r="IA71" s="205"/>
      <c r="IB71" s="205"/>
      <c r="IC71" s="205"/>
      <c r="ID71" s="205"/>
      <c r="IE71" s="205"/>
      <c r="IF71" s="205"/>
      <c r="IG71" s="205"/>
      <c r="IH71" s="205"/>
      <c r="II71" s="205"/>
      <c r="IJ71" s="205"/>
      <c r="IK71" s="205"/>
      <c r="IL71" s="205"/>
      <c r="IM71" s="205"/>
      <c r="IN71" s="205"/>
      <c r="IO71" s="205"/>
      <c r="IP71" s="205"/>
      <c r="IQ71" s="205"/>
      <c r="IR71" s="205"/>
      <c r="IS71" s="205"/>
      <c r="IT71" s="205"/>
      <c r="IU71" s="205"/>
      <c r="IV71" s="205"/>
    </row>
    <row r="72" spans="1:256" customFormat="1" ht="15.95" customHeight="1">
      <c r="A72" s="210" t="s">
        <v>1368</v>
      </c>
      <c r="B72" s="134">
        <f t="shared" si="9"/>
        <v>6123</v>
      </c>
      <c r="C72" s="134">
        <v>23</v>
      </c>
      <c r="D72" s="134">
        <f t="shared" si="10"/>
        <v>6100</v>
      </c>
      <c r="E72" s="134"/>
      <c r="F72" s="134">
        <v>1100</v>
      </c>
      <c r="G72" s="134">
        <v>5000</v>
      </c>
      <c r="H72" s="134"/>
      <c r="I72" s="134"/>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205"/>
      <c r="ET72" s="205"/>
      <c r="EU72" s="205"/>
      <c r="EV72" s="205"/>
      <c r="EW72" s="205"/>
      <c r="EX72" s="205"/>
      <c r="EY72" s="205"/>
      <c r="EZ72" s="205"/>
      <c r="FA72" s="205"/>
      <c r="FB72" s="205"/>
      <c r="FC72" s="205"/>
      <c r="FD72" s="205"/>
      <c r="FE72" s="205"/>
      <c r="FF72" s="205"/>
      <c r="FG72" s="205"/>
      <c r="FH72" s="205"/>
      <c r="FI72" s="205"/>
      <c r="FJ72" s="205"/>
      <c r="FK72" s="205"/>
      <c r="FL72" s="205"/>
      <c r="FM72" s="205"/>
      <c r="FN72" s="205"/>
      <c r="FO72" s="205"/>
      <c r="FP72" s="205"/>
      <c r="FQ72" s="205"/>
      <c r="FR72" s="205"/>
      <c r="FS72" s="205"/>
      <c r="FT72" s="205"/>
      <c r="FU72" s="205"/>
      <c r="FV72" s="205"/>
      <c r="FW72" s="205"/>
      <c r="FX72" s="205"/>
      <c r="FY72" s="205"/>
      <c r="FZ72" s="205"/>
      <c r="GA72" s="205"/>
      <c r="GB72" s="205"/>
      <c r="GC72" s="205"/>
      <c r="GD72" s="205"/>
      <c r="GE72" s="205"/>
      <c r="GF72" s="205"/>
      <c r="GG72" s="205"/>
      <c r="GH72" s="205"/>
      <c r="GI72" s="205"/>
      <c r="GJ72" s="205"/>
      <c r="GK72" s="205"/>
      <c r="GL72" s="205"/>
      <c r="GM72" s="205"/>
      <c r="GN72" s="205"/>
      <c r="GO72" s="205"/>
      <c r="GP72" s="205"/>
      <c r="GQ72" s="205"/>
      <c r="GR72" s="205"/>
      <c r="GS72" s="205"/>
      <c r="GT72" s="205"/>
      <c r="GU72" s="205"/>
      <c r="GV72" s="205"/>
      <c r="GW72" s="205"/>
      <c r="GX72" s="205"/>
      <c r="GY72" s="205"/>
      <c r="GZ72" s="205"/>
      <c r="HA72" s="205"/>
      <c r="HB72" s="205"/>
      <c r="HC72" s="205"/>
      <c r="HD72" s="205"/>
      <c r="HE72" s="205"/>
      <c r="HF72" s="205"/>
      <c r="HG72" s="205"/>
      <c r="HH72" s="205"/>
      <c r="HI72" s="205"/>
      <c r="HJ72" s="205"/>
      <c r="HK72" s="205"/>
      <c r="HL72" s="205"/>
      <c r="HM72" s="205"/>
      <c r="HN72" s="205"/>
      <c r="HO72" s="205"/>
      <c r="HP72" s="205"/>
      <c r="HQ72" s="205"/>
      <c r="HR72" s="205"/>
      <c r="HS72" s="205"/>
      <c r="HT72" s="205"/>
      <c r="HU72" s="205"/>
      <c r="HV72" s="205"/>
      <c r="HW72" s="205"/>
      <c r="HX72" s="205"/>
      <c r="HY72" s="205"/>
      <c r="HZ72" s="205"/>
      <c r="IA72" s="205"/>
      <c r="IB72" s="205"/>
      <c r="IC72" s="205"/>
      <c r="ID72" s="205"/>
      <c r="IE72" s="205"/>
      <c r="IF72" s="205"/>
      <c r="IG72" s="205"/>
      <c r="IH72" s="205"/>
      <c r="II72" s="205"/>
      <c r="IJ72" s="205"/>
      <c r="IK72" s="205"/>
      <c r="IL72" s="205"/>
      <c r="IM72" s="205"/>
      <c r="IN72" s="205"/>
      <c r="IO72" s="205"/>
      <c r="IP72" s="205"/>
      <c r="IQ72" s="205"/>
      <c r="IR72" s="205"/>
      <c r="IS72" s="205"/>
      <c r="IT72" s="205"/>
      <c r="IU72" s="205"/>
      <c r="IV72" s="205"/>
    </row>
    <row r="73" spans="1:256" customFormat="1" ht="15.95" customHeight="1">
      <c r="A73" s="209" t="s">
        <v>1369</v>
      </c>
      <c r="B73" s="134">
        <f t="shared" si="9"/>
        <v>42596</v>
      </c>
      <c r="C73" s="134">
        <f t="shared" ref="C73" si="21">SUM(C74:C81)</f>
        <v>9146</v>
      </c>
      <c r="D73" s="134">
        <f t="shared" si="10"/>
        <v>33450</v>
      </c>
      <c r="E73" s="134">
        <f t="shared" ref="E73:I73" si="22">SUM(E74:E81)</f>
        <v>7094</v>
      </c>
      <c r="F73" s="134">
        <f t="shared" si="22"/>
        <v>5386</v>
      </c>
      <c r="G73" s="134">
        <f t="shared" si="22"/>
        <v>7439</v>
      </c>
      <c r="H73" s="134">
        <f t="shared" si="22"/>
        <v>9660</v>
      </c>
      <c r="I73" s="134">
        <f t="shared" si="22"/>
        <v>3871</v>
      </c>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205"/>
      <c r="EZ73" s="205"/>
      <c r="FA73" s="205"/>
      <c r="FB73" s="205"/>
      <c r="FC73" s="205"/>
      <c r="FD73" s="205"/>
      <c r="FE73" s="205"/>
      <c r="FF73" s="205"/>
      <c r="FG73" s="205"/>
      <c r="FH73" s="205"/>
      <c r="FI73" s="205"/>
      <c r="FJ73" s="205"/>
      <c r="FK73" s="205"/>
      <c r="FL73" s="205"/>
      <c r="FM73" s="205"/>
      <c r="FN73" s="205"/>
      <c r="FO73" s="205"/>
      <c r="FP73" s="205"/>
      <c r="FQ73" s="205"/>
      <c r="FR73" s="205"/>
      <c r="FS73" s="205"/>
      <c r="FT73" s="205"/>
      <c r="FU73" s="205"/>
      <c r="FV73" s="205"/>
      <c r="FW73" s="205"/>
      <c r="FX73" s="205"/>
      <c r="FY73" s="205"/>
      <c r="FZ73" s="205"/>
      <c r="GA73" s="205"/>
      <c r="GB73" s="205"/>
      <c r="GC73" s="205"/>
      <c r="GD73" s="205"/>
      <c r="GE73" s="205"/>
      <c r="GF73" s="205"/>
      <c r="GG73" s="205"/>
      <c r="GH73" s="205"/>
      <c r="GI73" s="205"/>
      <c r="GJ73" s="205"/>
      <c r="GK73" s="205"/>
      <c r="GL73" s="205"/>
      <c r="GM73" s="205"/>
      <c r="GN73" s="205"/>
      <c r="GO73" s="205"/>
      <c r="GP73" s="205"/>
      <c r="GQ73" s="205"/>
      <c r="GR73" s="205"/>
      <c r="GS73" s="205"/>
      <c r="GT73" s="205"/>
      <c r="GU73" s="205"/>
      <c r="GV73" s="205"/>
      <c r="GW73" s="205"/>
      <c r="GX73" s="205"/>
      <c r="GY73" s="205"/>
      <c r="GZ73" s="205"/>
      <c r="HA73" s="205"/>
      <c r="HB73" s="205"/>
      <c r="HC73" s="205"/>
      <c r="HD73" s="205"/>
      <c r="HE73" s="205"/>
      <c r="HF73" s="205"/>
      <c r="HG73" s="205"/>
      <c r="HH73" s="205"/>
      <c r="HI73" s="205"/>
      <c r="HJ73" s="205"/>
      <c r="HK73" s="205"/>
      <c r="HL73" s="205"/>
      <c r="HM73" s="205"/>
      <c r="HN73" s="205"/>
      <c r="HO73" s="205"/>
      <c r="HP73" s="205"/>
      <c r="HQ73" s="205"/>
      <c r="HR73" s="205"/>
      <c r="HS73" s="205"/>
      <c r="HT73" s="205"/>
      <c r="HU73" s="205"/>
      <c r="HV73" s="205"/>
      <c r="HW73" s="205"/>
      <c r="HX73" s="205"/>
      <c r="HY73" s="205"/>
      <c r="HZ73" s="205"/>
      <c r="IA73" s="205"/>
      <c r="IB73" s="205"/>
      <c r="IC73" s="205"/>
      <c r="ID73" s="205"/>
      <c r="IE73" s="205"/>
      <c r="IF73" s="205"/>
      <c r="IG73" s="205"/>
      <c r="IH73" s="205"/>
      <c r="II73" s="205"/>
      <c r="IJ73" s="205"/>
      <c r="IK73" s="205"/>
      <c r="IL73" s="205"/>
      <c r="IM73" s="205"/>
      <c r="IN73" s="205"/>
      <c r="IO73" s="205"/>
      <c r="IP73" s="205"/>
      <c r="IQ73" s="205"/>
      <c r="IR73" s="205"/>
      <c r="IS73" s="205"/>
      <c r="IT73" s="205"/>
      <c r="IU73" s="205"/>
      <c r="IV73" s="205"/>
    </row>
    <row r="74" spans="1:256" customFormat="1" ht="15.95" customHeight="1">
      <c r="A74" s="210" t="s">
        <v>1370</v>
      </c>
      <c r="B74" s="134">
        <f t="shared" si="9"/>
        <v>19528</v>
      </c>
      <c r="C74" s="134">
        <f>8000-4000-1485</f>
        <v>2515</v>
      </c>
      <c r="D74" s="134">
        <f t="shared" si="10"/>
        <v>17013</v>
      </c>
      <c r="E74" s="134">
        <f>2872+485</f>
        <v>3357</v>
      </c>
      <c r="F74" s="134">
        <f>147+2000+500</f>
        <v>2647</v>
      </c>
      <c r="G74" s="134">
        <v>5028</v>
      </c>
      <c r="H74" s="134">
        <v>3310</v>
      </c>
      <c r="I74" s="134">
        <f>171+2000+500</f>
        <v>2671</v>
      </c>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205"/>
      <c r="EZ74" s="205"/>
      <c r="FA74" s="205"/>
      <c r="FB74" s="205"/>
      <c r="FC74" s="205"/>
      <c r="FD74" s="205"/>
      <c r="FE74" s="205"/>
      <c r="FF74" s="205"/>
      <c r="FG74" s="205"/>
      <c r="FH74" s="205"/>
      <c r="FI74" s="205"/>
      <c r="FJ74" s="205"/>
      <c r="FK74" s="205"/>
      <c r="FL74" s="205"/>
      <c r="FM74" s="205"/>
      <c r="FN74" s="205"/>
      <c r="FO74" s="205"/>
      <c r="FP74" s="205"/>
      <c r="FQ74" s="205"/>
      <c r="FR74" s="205"/>
      <c r="FS74" s="205"/>
      <c r="FT74" s="205"/>
      <c r="FU74" s="205"/>
      <c r="FV74" s="205"/>
      <c r="FW74" s="205"/>
      <c r="FX74" s="205"/>
      <c r="FY74" s="205"/>
      <c r="FZ74" s="205"/>
      <c r="GA74" s="205"/>
      <c r="GB74" s="205"/>
      <c r="GC74" s="205"/>
      <c r="GD74" s="205"/>
      <c r="GE74" s="205"/>
      <c r="GF74" s="205"/>
      <c r="GG74" s="205"/>
      <c r="GH74" s="205"/>
      <c r="GI74" s="205"/>
      <c r="GJ74" s="205"/>
      <c r="GK74" s="205"/>
      <c r="GL74" s="205"/>
      <c r="GM74" s="205"/>
      <c r="GN74" s="205"/>
      <c r="GO74" s="205"/>
      <c r="GP74" s="205"/>
      <c r="GQ74" s="205"/>
      <c r="GR74" s="205"/>
      <c r="GS74" s="205"/>
      <c r="GT74" s="205"/>
      <c r="GU74" s="205"/>
      <c r="GV74" s="205"/>
      <c r="GW74" s="205"/>
      <c r="GX74" s="205"/>
      <c r="GY74" s="205"/>
      <c r="GZ74" s="205"/>
      <c r="HA74" s="205"/>
      <c r="HB74" s="205"/>
      <c r="HC74" s="205"/>
      <c r="HD74" s="205"/>
      <c r="HE74" s="205"/>
      <c r="HF74" s="205"/>
      <c r="HG74" s="205"/>
      <c r="HH74" s="205"/>
      <c r="HI74" s="205"/>
      <c r="HJ74" s="205"/>
      <c r="HK74" s="205"/>
      <c r="HL74" s="205"/>
      <c r="HM74" s="205"/>
      <c r="HN74" s="205"/>
      <c r="HO74" s="205"/>
      <c r="HP74" s="205"/>
      <c r="HQ74" s="205"/>
      <c r="HR74" s="205"/>
      <c r="HS74" s="205"/>
      <c r="HT74" s="205"/>
      <c r="HU74" s="205"/>
      <c r="HV74" s="205"/>
      <c r="HW74" s="205"/>
      <c r="HX74" s="205"/>
      <c r="HY74" s="205"/>
      <c r="HZ74" s="205"/>
      <c r="IA74" s="205"/>
      <c r="IB74" s="205"/>
      <c r="IC74" s="205"/>
      <c r="ID74" s="205"/>
      <c r="IE74" s="205"/>
      <c r="IF74" s="205"/>
      <c r="IG74" s="205"/>
      <c r="IH74" s="205"/>
      <c r="II74" s="205"/>
      <c r="IJ74" s="205"/>
      <c r="IK74" s="205"/>
      <c r="IL74" s="205"/>
      <c r="IM74" s="205"/>
      <c r="IN74" s="205"/>
      <c r="IO74" s="205"/>
      <c r="IP74" s="205"/>
      <c r="IQ74" s="205"/>
      <c r="IR74" s="205"/>
      <c r="IS74" s="205"/>
      <c r="IT74" s="205"/>
      <c r="IU74" s="205"/>
      <c r="IV74" s="205"/>
    </row>
    <row r="75" spans="1:256" customFormat="1" ht="15.95" customHeight="1">
      <c r="A75" s="210" t="s">
        <v>1371</v>
      </c>
      <c r="B75" s="134">
        <f t="shared" si="9"/>
        <v>1564</v>
      </c>
      <c r="C75" s="134"/>
      <c r="D75" s="134">
        <f t="shared" si="10"/>
        <v>1564</v>
      </c>
      <c r="E75" s="134"/>
      <c r="F75" s="134">
        <v>1000</v>
      </c>
      <c r="G75" s="134">
        <v>564</v>
      </c>
      <c r="H75" s="134"/>
      <c r="I75" s="134"/>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205"/>
      <c r="GF75" s="205"/>
      <c r="GG75" s="205"/>
      <c r="GH75" s="205"/>
      <c r="GI75" s="205"/>
      <c r="GJ75" s="205"/>
      <c r="GK75" s="205"/>
      <c r="GL75" s="205"/>
      <c r="GM75" s="205"/>
      <c r="GN75" s="205"/>
      <c r="GO75" s="205"/>
      <c r="GP75" s="205"/>
      <c r="GQ75" s="205"/>
      <c r="GR75" s="205"/>
      <c r="GS75" s="205"/>
      <c r="GT75" s="205"/>
      <c r="GU75" s="205"/>
      <c r="GV75" s="205"/>
      <c r="GW75" s="205"/>
      <c r="GX75" s="205"/>
      <c r="GY75" s="205"/>
      <c r="GZ75" s="205"/>
      <c r="HA75" s="205"/>
      <c r="HB75" s="205"/>
      <c r="HC75" s="205"/>
      <c r="HD75" s="205"/>
      <c r="HE75" s="205"/>
      <c r="HF75" s="205"/>
      <c r="HG75" s="205"/>
      <c r="HH75" s="205"/>
      <c r="HI75" s="205"/>
      <c r="HJ75" s="205"/>
      <c r="HK75" s="205"/>
      <c r="HL75" s="205"/>
      <c r="HM75" s="205"/>
      <c r="HN75" s="205"/>
      <c r="HO75" s="205"/>
      <c r="HP75" s="205"/>
      <c r="HQ75" s="205"/>
      <c r="HR75" s="205"/>
      <c r="HS75" s="205"/>
      <c r="HT75" s="205"/>
      <c r="HU75" s="205"/>
      <c r="HV75" s="205"/>
      <c r="HW75" s="205"/>
      <c r="HX75" s="205"/>
      <c r="HY75" s="205"/>
      <c r="HZ75" s="205"/>
      <c r="IA75" s="205"/>
      <c r="IB75" s="205"/>
      <c r="IC75" s="205"/>
      <c r="ID75" s="205"/>
      <c r="IE75" s="205"/>
      <c r="IF75" s="205"/>
      <c r="IG75" s="205"/>
      <c r="IH75" s="205"/>
      <c r="II75" s="205"/>
      <c r="IJ75" s="205"/>
      <c r="IK75" s="205"/>
      <c r="IL75" s="205"/>
      <c r="IM75" s="205"/>
      <c r="IN75" s="205"/>
      <c r="IO75" s="205"/>
      <c r="IP75" s="205"/>
      <c r="IQ75" s="205"/>
      <c r="IR75" s="205"/>
      <c r="IS75" s="205"/>
      <c r="IT75" s="205"/>
      <c r="IU75" s="205"/>
      <c r="IV75" s="205"/>
    </row>
    <row r="76" spans="1:256" customFormat="1" ht="15.95" customHeight="1">
      <c r="A76" s="210" t="s">
        <v>1372</v>
      </c>
      <c r="B76" s="134">
        <f t="shared" si="9"/>
        <v>1191</v>
      </c>
      <c r="C76" s="134"/>
      <c r="D76" s="134">
        <f t="shared" si="10"/>
        <v>1191</v>
      </c>
      <c r="E76" s="134">
        <v>714</v>
      </c>
      <c r="F76" s="134">
        <v>208</v>
      </c>
      <c r="G76" s="134">
        <v>269</v>
      </c>
      <c r="H76" s="134"/>
      <c r="I76" s="134"/>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205"/>
      <c r="GF76" s="205"/>
      <c r="GG76" s="205"/>
      <c r="GH76" s="205"/>
      <c r="GI76" s="205"/>
      <c r="GJ76" s="205"/>
      <c r="GK76" s="205"/>
      <c r="GL76" s="205"/>
      <c r="GM76" s="205"/>
      <c r="GN76" s="205"/>
      <c r="GO76" s="205"/>
      <c r="GP76" s="205"/>
      <c r="GQ76" s="205"/>
      <c r="GR76" s="205"/>
      <c r="GS76" s="205"/>
      <c r="GT76" s="205"/>
      <c r="GU76" s="205"/>
      <c r="GV76" s="205"/>
      <c r="GW76" s="205"/>
      <c r="GX76" s="205"/>
      <c r="GY76" s="205"/>
      <c r="GZ76" s="205"/>
      <c r="HA76" s="205"/>
      <c r="HB76" s="205"/>
      <c r="HC76" s="205"/>
      <c r="HD76" s="205"/>
      <c r="HE76" s="205"/>
      <c r="HF76" s="205"/>
      <c r="HG76" s="205"/>
      <c r="HH76" s="205"/>
      <c r="HI76" s="205"/>
      <c r="HJ76" s="205"/>
      <c r="HK76" s="205"/>
      <c r="HL76" s="205"/>
      <c r="HM76" s="205"/>
      <c r="HN76" s="205"/>
      <c r="HO76" s="205"/>
      <c r="HP76" s="205"/>
      <c r="HQ76" s="205"/>
      <c r="HR76" s="205"/>
      <c r="HS76" s="205"/>
      <c r="HT76" s="205"/>
      <c r="HU76" s="205"/>
      <c r="HV76" s="205"/>
      <c r="HW76" s="205"/>
      <c r="HX76" s="205"/>
      <c r="HY76" s="205"/>
      <c r="HZ76" s="205"/>
      <c r="IA76" s="205"/>
      <c r="IB76" s="205"/>
      <c r="IC76" s="205"/>
      <c r="ID76" s="205"/>
      <c r="IE76" s="205"/>
      <c r="IF76" s="205"/>
      <c r="IG76" s="205"/>
      <c r="IH76" s="205"/>
      <c r="II76" s="205"/>
      <c r="IJ76" s="205"/>
      <c r="IK76" s="205"/>
      <c r="IL76" s="205"/>
      <c r="IM76" s="205"/>
      <c r="IN76" s="205"/>
      <c r="IO76" s="205"/>
      <c r="IP76" s="205"/>
      <c r="IQ76" s="205"/>
      <c r="IR76" s="205"/>
      <c r="IS76" s="205"/>
      <c r="IT76" s="205"/>
      <c r="IU76" s="205"/>
      <c r="IV76" s="205"/>
    </row>
    <row r="77" spans="1:256" customFormat="1" ht="15.95" customHeight="1">
      <c r="A77" s="210" t="s">
        <v>1373</v>
      </c>
      <c r="B77" s="134">
        <f t="shared" si="9"/>
        <v>1798</v>
      </c>
      <c r="C77" s="134"/>
      <c r="D77" s="134">
        <f t="shared" si="10"/>
        <v>1798</v>
      </c>
      <c r="E77" s="134">
        <v>1143</v>
      </c>
      <c r="F77" s="134">
        <f>219+368</f>
        <v>587</v>
      </c>
      <c r="G77" s="134">
        <v>68</v>
      </c>
      <c r="H77" s="134"/>
      <c r="I77" s="134"/>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205"/>
      <c r="FL77" s="205"/>
      <c r="FM77" s="205"/>
      <c r="FN77" s="205"/>
      <c r="FO77" s="205"/>
      <c r="FP77" s="205"/>
      <c r="FQ77" s="205"/>
      <c r="FR77" s="205"/>
      <c r="FS77" s="205"/>
      <c r="FT77" s="205"/>
      <c r="FU77" s="205"/>
      <c r="FV77" s="205"/>
      <c r="FW77" s="205"/>
      <c r="FX77" s="205"/>
      <c r="FY77" s="205"/>
      <c r="FZ77" s="205"/>
      <c r="GA77" s="205"/>
      <c r="GB77" s="205"/>
      <c r="GC77" s="205"/>
      <c r="GD77" s="205"/>
      <c r="GE77" s="205"/>
      <c r="GF77" s="205"/>
      <c r="GG77" s="205"/>
      <c r="GH77" s="205"/>
      <c r="GI77" s="205"/>
      <c r="GJ77" s="205"/>
      <c r="GK77" s="205"/>
      <c r="GL77" s="205"/>
      <c r="GM77" s="205"/>
      <c r="GN77" s="205"/>
      <c r="GO77" s="205"/>
      <c r="GP77" s="205"/>
      <c r="GQ77" s="205"/>
      <c r="GR77" s="205"/>
      <c r="GS77" s="205"/>
      <c r="GT77" s="205"/>
      <c r="GU77" s="205"/>
      <c r="GV77" s="205"/>
      <c r="GW77" s="205"/>
      <c r="GX77" s="205"/>
      <c r="GY77" s="205"/>
      <c r="GZ77" s="205"/>
      <c r="HA77" s="205"/>
      <c r="HB77" s="205"/>
      <c r="HC77" s="205"/>
      <c r="HD77" s="205"/>
      <c r="HE77" s="205"/>
      <c r="HF77" s="205"/>
      <c r="HG77" s="205"/>
      <c r="HH77" s="205"/>
      <c r="HI77" s="205"/>
      <c r="HJ77" s="205"/>
      <c r="HK77" s="205"/>
      <c r="HL77" s="205"/>
      <c r="HM77" s="205"/>
      <c r="HN77" s="205"/>
      <c r="HO77" s="205"/>
      <c r="HP77" s="205"/>
      <c r="HQ77" s="205"/>
      <c r="HR77" s="205"/>
      <c r="HS77" s="205"/>
      <c r="HT77" s="205"/>
      <c r="HU77" s="205"/>
      <c r="HV77" s="205"/>
      <c r="HW77" s="205"/>
      <c r="HX77" s="205"/>
      <c r="HY77" s="205"/>
      <c r="HZ77" s="205"/>
      <c r="IA77" s="205"/>
      <c r="IB77" s="205"/>
      <c r="IC77" s="205"/>
      <c r="ID77" s="205"/>
      <c r="IE77" s="205"/>
      <c r="IF77" s="205"/>
      <c r="IG77" s="205"/>
      <c r="IH77" s="205"/>
      <c r="II77" s="205"/>
      <c r="IJ77" s="205"/>
      <c r="IK77" s="205"/>
      <c r="IL77" s="205"/>
      <c r="IM77" s="205"/>
      <c r="IN77" s="205"/>
      <c r="IO77" s="205"/>
      <c r="IP77" s="205"/>
      <c r="IQ77" s="205"/>
      <c r="IR77" s="205"/>
      <c r="IS77" s="205"/>
      <c r="IT77" s="205"/>
      <c r="IU77" s="205"/>
      <c r="IV77" s="205"/>
    </row>
    <row r="78" spans="1:256" customFormat="1" ht="15.95" customHeight="1">
      <c r="A78" s="210" t="s">
        <v>1374</v>
      </c>
      <c r="B78" s="134">
        <f t="shared" si="9"/>
        <v>160</v>
      </c>
      <c r="C78" s="134"/>
      <c r="D78" s="134">
        <f t="shared" si="10"/>
        <v>160</v>
      </c>
      <c r="E78" s="134"/>
      <c r="F78" s="134"/>
      <c r="G78" s="134">
        <v>160</v>
      </c>
      <c r="H78" s="134"/>
      <c r="I78" s="134"/>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205"/>
      <c r="EO78" s="205"/>
      <c r="EP78" s="205"/>
      <c r="EQ78" s="205"/>
      <c r="ER78" s="205"/>
      <c r="ES78" s="205"/>
      <c r="ET78" s="205"/>
      <c r="EU78" s="205"/>
      <c r="EV78" s="205"/>
      <c r="EW78" s="205"/>
      <c r="EX78" s="205"/>
      <c r="EY78" s="205"/>
      <c r="EZ78" s="205"/>
      <c r="FA78" s="205"/>
      <c r="FB78" s="205"/>
      <c r="FC78" s="205"/>
      <c r="FD78" s="205"/>
      <c r="FE78" s="205"/>
      <c r="FF78" s="205"/>
      <c r="FG78" s="205"/>
      <c r="FH78" s="205"/>
      <c r="FI78" s="205"/>
      <c r="FJ78" s="205"/>
      <c r="FK78" s="205"/>
      <c r="FL78" s="205"/>
      <c r="FM78" s="205"/>
      <c r="FN78" s="205"/>
      <c r="FO78" s="205"/>
      <c r="FP78" s="205"/>
      <c r="FQ78" s="205"/>
      <c r="FR78" s="205"/>
      <c r="FS78" s="205"/>
      <c r="FT78" s="205"/>
      <c r="FU78" s="205"/>
      <c r="FV78" s="205"/>
      <c r="FW78" s="205"/>
      <c r="FX78" s="205"/>
      <c r="FY78" s="205"/>
      <c r="FZ78" s="205"/>
      <c r="GA78" s="205"/>
      <c r="GB78" s="205"/>
      <c r="GC78" s="205"/>
      <c r="GD78" s="205"/>
      <c r="GE78" s="205"/>
      <c r="GF78" s="205"/>
      <c r="GG78" s="205"/>
      <c r="GH78" s="205"/>
      <c r="GI78" s="205"/>
      <c r="GJ78" s="205"/>
      <c r="GK78" s="205"/>
      <c r="GL78" s="205"/>
      <c r="GM78" s="205"/>
      <c r="GN78" s="205"/>
      <c r="GO78" s="205"/>
      <c r="GP78" s="205"/>
      <c r="GQ78" s="205"/>
      <c r="GR78" s="205"/>
      <c r="GS78" s="205"/>
      <c r="GT78" s="205"/>
      <c r="GU78" s="205"/>
      <c r="GV78" s="205"/>
      <c r="GW78" s="205"/>
      <c r="GX78" s="205"/>
      <c r="GY78" s="205"/>
      <c r="GZ78" s="205"/>
      <c r="HA78" s="205"/>
      <c r="HB78" s="205"/>
      <c r="HC78" s="205"/>
      <c r="HD78" s="205"/>
      <c r="HE78" s="205"/>
      <c r="HF78" s="205"/>
      <c r="HG78" s="205"/>
      <c r="HH78" s="205"/>
      <c r="HI78" s="205"/>
      <c r="HJ78" s="205"/>
      <c r="HK78" s="205"/>
      <c r="HL78" s="205"/>
      <c r="HM78" s="205"/>
      <c r="HN78" s="205"/>
      <c r="HO78" s="205"/>
      <c r="HP78" s="205"/>
      <c r="HQ78" s="205"/>
      <c r="HR78" s="205"/>
      <c r="HS78" s="205"/>
      <c r="HT78" s="205"/>
      <c r="HU78" s="205"/>
      <c r="HV78" s="205"/>
      <c r="HW78" s="205"/>
      <c r="HX78" s="205"/>
      <c r="HY78" s="205"/>
      <c r="HZ78" s="205"/>
      <c r="IA78" s="205"/>
      <c r="IB78" s="205"/>
      <c r="IC78" s="205"/>
      <c r="ID78" s="205"/>
      <c r="IE78" s="205"/>
      <c r="IF78" s="205"/>
      <c r="IG78" s="205"/>
      <c r="IH78" s="205"/>
      <c r="II78" s="205"/>
      <c r="IJ78" s="205"/>
      <c r="IK78" s="205"/>
      <c r="IL78" s="205"/>
      <c r="IM78" s="205"/>
      <c r="IN78" s="205"/>
      <c r="IO78" s="205"/>
      <c r="IP78" s="205"/>
      <c r="IQ78" s="205"/>
      <c r="IR78" s="205"/>
      <c r="IS78" s="205"/>
      <c r="IT78" s="205"/>
      <c r="IU78" s="205"/>
      <c r="IV78" s="205"/>
    </row>
    <row r="79" spans="1:256" customFormat="1" ht="15.95" hidden="1" customHeight="1">
      <c r="A79" s="210" t="s">
        <v>1375</v>
      </c>
      <c r="B79" s="134">
        <f t="shared" si="9"/>
        <v>0</v>
      </c>
      <c r="C79" s="134"/>
      <c r="D79" s="134">
        <f t="shared" si="10"/>
        <v>0</v>
      </c>
      <c r="E79" s="134"/>
      <c r="F79" s="134"/>
      <c r="G79" s="134"/>
      <c r="H79" s="134"/>
      <c r="I79" s="134"/>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5"/>
      <c r="EL79" s="205"/>
      <c r="EM79" s="205"/>
      <c r="EN79" s="205"/>
      <c r="EO79" s="205"/>
      <c r="EP79" s="205"/>
      <c r="EQ79" s="205"/>
      <c r="ER79" s="205"/>
      <c r="ES79" s="205"/>
      <c r="ET79" s="205"/>
      <c r="EU79" s="205"/>
      <c r="EV79" s="205"/>
      <c r="EW79" s="205"/>
      <c r="EX79" s="205"/>
      <c r="EY79" s="205"/>
      <c r="EZ79" s="205"/>
      <c r="FA79" s="205"/>
      <c r="FB79" s="205"/>
      <c r="FC79" s="205"/>
      <c r="FD79" s="205"/>
      <c r="FE79" s="205"/>
      <c r="FF79" s="205"/>
      <c r="FG79" s="205"/>
      <c r="FH79" s="205"/>
      <c r="FI79" s="205"/>
      <c r="FJ79" s="205"/>
      <c r="FK79" s="205"/>
      <c r="FL79" s="205"/>
      <c r="FM79" s="205"/>
      <c r="FN79" s="205"/>
      <c r="FO79" s="205"/>
      <c r="FP79" s="205"/>
      <c r="FQ79" s="205"/>
      <c r="FR79" s="205"/>
      <c r="FS79" s="205"/>
      <c r="FT79" s="205"/>
      <c r="FU79" s="205"/>
      <c r="FV79" s="205"/>
      <c r="FW79" s="205"/>
      <c r="FX79" s="205"/>
      <c r="FY79" s="205"/>
      <c r="FZ79" s="205"/>
      <c r="GA79" s="205"/>
      <c r="GB79" s="205"/>
      <c r="GC79" s="205"/>
      <c r="GD79" s="205"/>
      <c r="GE79" s="205"/>
      <c r="GF79" s="205"/>
      <c r="GG79" s="205"/>
      <c r="GH79" s="205"/>
      <c r="GI79" s="205"/>
      <c r="GJ79" s="205"/>
      <c r="GK79" s="205"/>
      <c r="GL79" s="205"/>
      <c r="GM79" s="205"/>
      <c r="GN79" s="205"/>
      <c r="GO79" s="205"/>
      <c r="GP79" s="205"/>
      <c r="GQ79" s="205"/>
      <c r="GR79" s="205"/>
      <c r="GS79" s="205"/>
      <c r="GT79" s="205"/>
      <c r="GU79" s="205"/>
      <c r="GV79" s="205"/>
      <c r="GW79" s="205"/>
      <c r="GX79" s="205"/>
      <c r="GY79" s="205"/>
      <c r="GZ79" s="205"/>
      <c r="HA79" s="205"/>
      <c r="HB79" s="205"/>
      <c r="HC79" s="205"/>
      <c r="HD79" s="205"/>
      <c r="HE79" s="205"/>
      <c r="HF79" s="205"/>
      <c r="HG79" s="205"/>
      <c r="HH79" s="205"/>
      <c r="HI79" s="205"/>
      <c r="HJ79" s="205"/>
      <c r="HK79" s="205"/>
      <c r="HL79" s="205"/>
      <c r="HM79" s="205"/>
      <c r="HN79" s="205"/>
      <c r="HO79" s="205"/>
      <c r="HP79" s="205"/>
      <c r="HQ79" s="205"/>
      <c r="HR79" s="205"/>
      <c r="HS79" s="205"/>
      <c r="HT79" s="205"/>
      <c r="HU79" s="205"/>
      <c r="HV79" s="205"/>
      <c r="HW79" s="205"/>
      <c r="HX79" s="205"/>
      <c r="HY79" s="205"/>
      <c r="HZ79" s="205"/>
      <c r="IA79" s="205"/>
      <c r="IB79" s="205"/>
      <c r="IC79" s="205"/>
      <c r="ID79" s="205"/>
      <c r="IE79" s="205"/>
      <c r="IF79" s="205"/>
      <c r="IG79" s="205"/>
      <c r="IH79" s="205"/>
      <c r="II79" s="205"/>
      <c r="IJ79" s="205"/>
      <c r="IK79" s="205"/>
      <c r="IL79" s="205"/>
      <c r="IM79" s="205"/>
      <c r="IN79" s="205"/>
      <c r="IO79" s="205"/>
      <c r="IP79" s="205"/>
      <c r="IQ79" s="205"/>
      <c r="IR79" s="205"/>
      <c r="IS79" s="205"/>
      <c r="IT79" s="205"/>
      <c r="IU79" s="205"/>
      <c r="IV79" s="205"/>
    </row>
    <row r="80" spans="1:256" customFormat="1" ht="15.95" hidden="1" customHeight="1">
      <c r="A80" s="210" t="s">
        <v>1376</v>
      </c>
      <c r="B80" s="134">
        <f t="shared" si="9"/>
        <v>0</v>
      </c>
      <c r="C80" s="134"/>
      <c r="D80" s="134">
        <f t="shared" si="10"/>
        <v>0</v>
      </c>
      <c r="E80" s="134"/>
      <c r="F80" s="134"/>
      <c r="G80" s="134"/>
      <c r="H80" s="134"/>
      <c r="I80" s="134"/>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205"/>
      <c r="ET80" s="205"/>
      <c r="EU80" s="205"/>
      <c r="EV80" s="205"/>
      <c r="EW80" s="205"/>
      <c r="EX80" s="205"/>
      <c r="EY80" s="205"/>
      <c r="EZ80" s="205"/>
      <c r="FA80" s="205"/>
      <c r="FB80" s="205"/>
      <c r="FC80" s="205"/>
      <c r="FD80" s="205"/>
      <c r="FE80" s="205"/>
      <c r="FF80" s="205"/>
      <c r="FG80" s="205"/>
      <c r="FH80" s="205"/>
      <c r="FI80" s="205"/>
      <c r="FJ80" s="205"/>
      <c r="FK80" s="205"/>
      <c r="FL80" s="205"/>
      <c r="FM80" s="205"/>
      <c r="FN80" s="205"/>
      <c r="FO80" s="205"/>
      <c r="FP80" s="205"/>
      <c r="FQ80" s="205"/>
      <c r="FR80" s="205"/>
      <c r="FS80" s="205"/>
      <c r="FT80" s="205"/>
      <c r="FU80" s="205"/>
      <c r="FV80" s="205"/>
      <c r="FW80" s="205"/>
      <c r="FX80" s="205"/>
      <c r="FY80" s="205"/>
      <c r="FZ80" s="205"/>
      <c r="GA80" s="205"/>
      <c r="GB80" s="205"/>
      <c r="GC80" s="205"/>
      <c r="GD80" s="205"/>
      <c r="GE80" s="205"/>
      <c r="GF80" s="205"/>
      <c r="GG80" s="205"/>
      <c r="GH80" s="205"/>
      <c r="GI80" s="205"/>
      <c r="GJ80" s="205"/>
      <c r="GK80" s="205"/>
      <c r="GL80" s="205"/>
      <c r="GM80" s="205"/>
      <c r="GN80" s="205"/>
      <c r="GO80" s="205"/>
      <c r="GP80" s="205"/>
      <c r="GQ80" s="205"/>
      <c r="GR80" s="205"/>
      <c r="GS80" s="205"/>
      <c r="GT80" s="205"/>
      <c r="GU80" s="205"/>
      <c r="GV80" s="205"/>
      <c r="GW80" s="205"/>
      <c r="GX80" s="205"/>
      <c r="GY80" s="205"/>
      <c r="GZ80" s="205"/>
      <c r="HA80" s="205"/>
      <c r="HB80" s="205"/>
      <c r="HC80" s="205"/>
      <c r="HD80" s="205"/>
      <c r="HE80" s="205"/>
      <c r="HF80" s="205"/>
      <c r="HG80" s="205"/>
      <c r="HH80" s="205"/>
      <c r="HI80" s="205"/>
      <c r="HJ80" s="205"/>
      <c r="HK80" s="205"/>
      <c r="HL80" s="205"/>
      <c r="HM80" s="205"/>
      <c r="HN80" s="205"/>
      <c r="HO80" s="205"/>
      <c r="HP80" s="205"/>
      <c r="HQ80" s="205"/>
      <c r="HR80" s="205"/>
      <c r="HS80" s="205"/>
      <c r="HT80" s="205"/>
      <c r="HU80" s="205"/>
      <c r="HV80" s="205"/>
      <c r="HW80" s="205"/>
      <c r="HX80" s="205"/>
      <c r="HY80" s="205"/>
      <c r="HZ80" s="205"/>
      <c r="IA80" s="205"/>
      <c r="IB80" s="205"/>
      <c r="IC80" s="205"/>
      <c r="ID80" s="205"/>
      <c r="IE80" s="205"/>
      <c r="IF80" s="205"/>
      <c r="IG80" s="205"/>
      <c r="IH80" s="205"/>
      <c r="II80" s="205"/>
      <c r="IJ80" s="205"/>
      <c r="IK80" s="205"/>
      <c r="IL80" s="205"/>
      <c r="IM80" s="205"/>
      <c r="IN80" s="205"/>
      <c r="IO80" s="205"/>
      <c r="IP80" s="205"/>
      <c r="IQ80" s="205"/>
      <c r="IR80" s="205"/>
      <c r="IS80" s="205"/>
      <c r="IT80" s="205"/>
      <c r="IU80" s="205"/>
      <c r="IV80" s="205"/>
    </row>
    <row r="81" spans="1:256" customFormat="1" ht="15.95" customHeight="1">
      <c r="A81" s="210" t="s">
        <v>1377</v>
      </c>
      <c r="B81" s="134">
        <f t="shared" si="9"/>
        <v>18355</v>
      </c>
      <c r="C81" s="134">
        <f>4131+2500</f>
        <v>6631</v>
      </c>
      <c r="D81" s="134">
        <f t="shared" si="10"/>
        <v>11724</v>
      </c>
      <c r="E81" s="134">
        <f>1380+500</f>
        <v>1880</v>
      </c>
      <c r="F81" s="134">
        <f>444+500</f>
        <v>944</v>
      </c>
      <c r="G81" s="134">
        <f>350+1000</f>
        <v>1350</v>
      </c>
      <c r="H81" s="134">
        <v>6350</v>
      </c>
      <c r="I81" s="134">
        <f>700+500</f>
        <v>1200</v>
      </c>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c r="EO81" s="205"/>
      <c r="EP81" s="205"/>
      <c r="EQ81" s="205"/>
      <c r="ER81" s="205"/>
      <c r="ES81" s="205"/>
      <c r="ET81" s="205"/>
      <c r="EU81" s="205"/>
      <c r="EV81" s="205"/>
      <c r="EW81" s="205"/>
      <c r="EX81" s="205"/>
      <c r="EY81" s="205"/>
      <c r="EZ81" s="205"/>
      <c r="FA81" s="205"/>
      <c r="FB81" s="205"/>
      <c r="FC81" s="205"/>
      <c r="FD81" s="205"/>
      <c r="FE81" s="205"/>
      <c r="FF81" s="205"/>
      <c r="FG81" s="205"/>
      <c r="FH81" s="205"/>
      <c r="FI81" s="205"/>
      <c r="FJ81" s="205"/>
      <c r="FK81" s="205"/>
      <c r="FL81" s="205"/>
      <c r="FM81" s="205"/>
      <c r="FN81" s="205"/>
      <c r="FO81" s="205"/>
      <c r="FP81" s="205"/>
      <c r="FQ81" s="205"/>
      <c r="FR81" s="205"/>
      <c r="FS81" s="205"/>
      <c r="FT81" s="205"/>
      <c r="FU81" s="205"/>
      <c r="FV81" s="205"/>
      <c r="FW81" s="205"/>
      <c r="FX81" s="205"/>
      <c r="FY81" s="205"/>
      <c r="FZ81" s="205"/>
      <c r="GA81" s="205"/>
      <c r="GB81" s="205"/>
      <c r="GC81" s="205"/>
      <c r="GD81" s="205"/>
      <c r="GE81" s="205"/>
      <c r="GF81" s="205"/>
      <c r="GG81" s="205"/>
      <c r="GH81" s="205"/>
      <c r="GI81" s="205"/>
      <c r="GJ81" s="205"/>
      <c r="GK81" s="205"/>
      <c r="GL81" s="205"/>
      <c r="GM81" s="205"/>
      <c r="GN81" s="205"/>
      <c r="GO81" s="205"/>
      <c r="GP81" s="205"/>
      <c r="GQ81" s="205"/>
      <c r="GR81" s="205"/>
      <c r="GS81" s="205"/>
      <c r="GT81" s="205"/>
      <c r="GU81" s="205"/>
      <c r="GV81" s="205"/>
      <c r="GW81" s="205"/>
      <c r="GX81" s="205"/>
      <c r="GY81" s="205"/>
      <c r="GZ81" s="205"/>
      <c r="HA81" s="205"/>
      <c r="HB81" s="205"/>
      <c r="HC81" s="205"/>
      <c r="HD81" s="205"/>
      <c r="HE81" s="205"/>
      <c r="HF81" s="205"/>
      <c r="HG81" s="205"/>
      <c r="HH81" s="205"/>
      <c r="HI81" s="205"/>
      <c r="HJ81" s="205"/>
      <c r="HK81" s="205"/>
      <c r="HL81" s="205"/>
      <c r="HM81" s="205"/>
      <c r="HN81" s="205"/>
      <c r="HO81" s="205"/>
      <c r="HP81" s="205"/>
      <c r="HQ81" s="205"/>
      <c r="HR81" s="205"/>
      <c r="HS81" s="205"/>
      <c r="HT81" s="205"/>
      <c r="HU81" s="205"/>
      <c r="HV81" s="205"/>
      <c r="HW81" s="205"/>
      <c r="HX81" s="205"/>
      <c r="HY81" s="205"/>
      <c r="HZ81" s="205"/>
      <c r="IA81" s="205"/>
      <c r="IB81" s="205"/>
      <c r="IC81" s="205"/>
      <c r="ID81" s="205"/>
      <c r="IE81" s="205"/>
      <c r="IF81" s="205"/>
      <c r="IG81" s="205"/>
      <c r="IH81" s="205"/>
      <c r="II81" s="205"/>
      <c r="IJ81" s="205"/>
      <c r="IK81" s="205"/>
      <c r="IL81" s="205"/>
      <c r="IM81" s="205"/>
      <c r="IN81" s="205"/>
      <c r="IO81" s="205"/>
      <c r="IP81" s="205"/>
      <c r="IQ81" s="205"/>
      <c r="IR81" s="205"/>
      <c r="IS81" s="205"/>
      <c r="IT81" s="205"/>
      <c r="IU81" s="205"/>
      <c r="IV81" s="205"/>
    </row>
    <row r="82" spans="1:256" customFormat="1" ht="15.95" customHeight="1">
      <c r="A82" s="209" t="s">
        <v>1378</v>
      </c>
      <c r="B82" s="134">
        <f t="shared" si="9"/>
        <v>13280</v>
      </c>
      <c r="C82" s="134">
        <f t="shared" ref="C82" si="23">SUM(C83:C86)</f>
        <v>5500</v>
      </c>
      <c r="D82" s="134">
        <f t="shared" si="10"/>
        <v>7780</v>
      </c>
      <c r="E82" s="134">
        <f t="shared" ref="E82:I82" si="24">SUM(E83:E86)</f>
        <v>505</v>
      </c>
      <c r="F82" s="134">
        <f t="shared" si="24"/>
        <v>5702</v>
      </c>
      <c r="G82" s="134">
        <f t="shared" si="24"/>
        <v>50</v>
      </c>
      <c r="H82" s="134">
        <f t="shared" si="24"/>
        <v>1518</v>
      </c>
      <c r="I82" s="134">
        <f t="shared" si="24"/>
        <v>5</v>
      </c>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c r="FA82" s="205"/>
      <c r="FB82" s="205"/>
      <c r="FC82" s="205"/>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05"/>
      <c r="HF82" s="205"/>
      <c r="HG82" s="205"/>
      <c r="HH82" s="205"/>
      <c r="HI82" s="205"/>
      <c r="HJ82" s="205"/>
      <c r="HK82" s="205"/>
      <c r="HL82" s="205"/>
      <c r="HM82" s="205"/>
      <c r="HN82" s="205"/>
      <c r="HO82" s="205"/>
      <c r="HP82" s="205"/>
      <c r="HQ82" s="205"/>
      <c r="HR82" s="205"/>
      <c r="HS82" s="205"/>
      <c r="HT82" s="205"/>
      <c r="HU82" s="205"/>
      <c r="HV82" s="205"/>
      <c r="HW82" s="205"/>
      <c r="HX82" s="205"/>
      <c r="HY82" s="205"/>
      <c r="HZ82" s="205"/>
      <c r="IA82" s="205"/>
      <c r="IB82" s="205"/>
      <c r="IC82" s="205"/>
      <c r="ID82" s="205"/>
      <c r="IE82" s="205"/>
      <c r="IF82" s="205"/>
      <c r="IG82" s="205"/>
      <c r="IH82" s="205"/>
      <c r="II82" s="205"/>
      <c r="IJ82" s="205"/>
      <c r="IK82" s="205"/>
      <c r="IL82" s="205"/>
      <c r="IM82" s="205"/>
      <c r="IN82" s="205"/>
      <c r="IO82" s="205"/>
      <c r="IP82" s="205"/>
      <c r="IQ82" s="205"/>
      <c r="IR82" s="205"/>
      <c r="IS82" s="205"/>
      <c r="IT82" s="205"/>
      <c r="IU82" s="205"/>
      <c r="IV82" s="205"/>
    </row>
    <row r="83" spans="1:256" customFormat="1" ht="15.95" hidden="1" customHeight="1">
      <c r="A83" s="210" t="s">
        <v>1379</v>
      </c>
      <c r="B83" s="134">
        <f t="shared" si="9"/>
        <v>0</v>
      </c>
      <c r="C83" s="134"/>
      <c r="D83" s="134">
        <f t="shared" si="10"/>
        <v>0</v>
      </c>
      <c r="E83" s="134"/>
      <c r="F83" s="134"/>
      <c r="G83" s="134"/>
      <c r="H83" s="134"/>
      <c r="I83" s="134"/>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c r="EC83" s="205"/>
      <c r="ED83" s="205"/>
      <c r="EE83" s="205"/>
      <c r="EF83" s="205"/>
      <c r="EG83" s="205"/>
      <c r="EH83" s="205"/>
      <c r="EI83" s="205"/>
      <c r="EJ83" s="205"/>
      <c r="EK83" s="205"/>
      <c r="EL83" s="205"/>
      <c r="EM83" s="205"/>
      <c r="EN83" s="205"/>
      <c r="EO83" s="205"/>
      <c r="EP83" s="205"/>
      <c r="EQ83" s="205"/>
      <c r="ER83" s="205"/>
      <c r="ES83" s="205"/>
      <c r="ET83" s="205"/>
      <c r="EU83" s="205"/>
      <c r="EV83" s="205"/>
      <c r="EW83" s="205"/>
      <c r="EX83" s="205"/>
      <c r="EY83" s="205"/>
      <c r="EZ83" s="205"/>
      <c r="FA83" s="205"/>
      <c r="FB83" s="205"/>
      <c r="FC83" s="205"/>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05"/>
      <c r="HF83" s="205"/>
      <c r="HG83" s="205"/>
      <c r="HH83" s="205"/>
      <c r="HI83" s="205"/>
      <c r="HJ83" s="205"/>
      <c r="HK83" s="205"/>
      <c r="HL83" s="205"/>
      <c r="HM83" s="205"/>
      <c r="HN83" s="205"/>
      <c r="HO83" s="205"/>
      <c r="HP83" s="205"/>
      <c r="HQ83" s="205"/>
      <c r="HR83" s="205"/>
      <c r="HS83" s="205"/>
      <c r="HT83" s="205"/>
      <c r="HU83" s="205"/>
      <c r="HV83" s="205"/>
      <c r="HW83" s="205"/>
      <c r="HX83" s="205"/>
      <c r="HY83" s="205"/>
      <c r="HZ83" s="205"/>
      <c r="IA83" s="205"/>
      <c r="IB83" s="205"/>
      <c r="IC83" s="205"/>
      <c r="ID83" s="205"/>
      <c r="IE83" s="205"/>
      <c r="IF83" s="205"/>
      <c r="IG83" s="205"/>
      <c r="IH83" s="205"/>
      <c r="II83" s="205"/>
      <c r="IJ83" s="205"/>
      <c r="IK83" s="205"/>
      <c r="IL83" s="205"/>
      <c r="IM83" s="205"/>
      <c r="IN83" s="205"/>
      <c r="IO83" s="205"/>
      <c r="IP83" s="205"/>
      <c r="IQ83" s="205"/>
      <c r="IR83" s="205"/>
      <c r="IS83" s="205"/>
      <c r="IT83" s="205"/>
      <c r="IU83" s="205"/>
      <c r="IV83" s="205"/>
    </row>
    <row r="84" spans="1:256" customFormat="1" ht="15.95" customHeight="1">
      <c r="A84" s="210" t="s">
        <v>1380</v>
      </c>
      <c r="B84" s="134">
        <f t="shared" si="9"/>
        <v>2100</v>
      </c>
      <c r="C84" s="134">
        <v>500</v>
      </c>
      <c r="D84" s="134">
        <f t="shared" si="10"/>
        <v>1600</v>
      </c>
      <c r="E84" s="134">
        <v>500</v>
      </c>
      <c r="F84" s="134">
        <v>47</v>
      </c>
      <c r="G84" s="134">
        <v>45</v>
      </c>
      <c r="H84" s="134">
        <v>1008</v>
      </c>
      <c r="I84" s="134"/>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205"/>
      <c r="GB84" s="205"/>
      <c r="GC84" s="205"/>
      <c r="GD84" s="205"/>
      <c r="GE84" s="205"/>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c r="IN84" s="205"/>
      <c r="IO84" s="205"/>
      <c r="IP84" s="205"/>
      <c r="IQ84" s="205"/>
      <c r="IR84" s="205"/>
      <c r="IS84" s="205"/>
      <c r="IT84" s="205"/>
      <c r="IU84" s="205"/>
      <c r="IV84" s="205"/>
    </row>
    <row r="85" spans="1:256" customFormat="1" ht="15.95" hidden="1" customHeight="1">
      <c r="A85" s="210" t="s">
        <v>1381</v>
      </c>
      <c r="B85" s="134">
        <f t="shared" si="9"/>
        <v>0</v>
      </c>
      <c r="C85" s="134"/>
      <c r="D85" s="134">
        <f t="shared" si="10"/>
        <v>0</v>
      </c>
      <c r="E85" s="134"/>
      <c r="F85" s="134"/>
      <c r="G85" s="134"/>
      <c r="H85" s="134"/>
      <c r="I85" s="134"/>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205"/>
      <c r="GB85" s="205"/>
      <c r="GC85" s="205"/>
      <c r="GD85" s="205"/>
      <c r="GE85" s="205"/>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c r="IN85" s="205"/>
      <c r="IO85" s="205"/>
      <c r="IP85" s="205"/>
      <c r="IQ85" s="205"/>
      <c r="IR85" s="205"/>
      <c r="IS85" s="205"/>
      <c r="IT85" s="205"/>
      <c r="IU85" s="205"/>
      <c r="IV85" s="205"/>
    </row>
    <row r="86" spans="1:256" customFormat="1" ht="15.95" customHeight="1">
      <c r="A86" s="210" t="s">
        <v>1382</v>
      </c>
      <c r="B86" s="134">
        <f t="shared" si="9"/>
        <v>11180</v>
      </c>
      <c r="C86" s="134">
        <v>5000</v>
      </c>
      <c r="D86" s="134">
        <f t="shared" si="10"/>
        <v>6180</v>
      </c>
      <c r="E86" s="134">
        <v>5</v>
      </c>
      <c r="F86" s="134">
        <f>650+5005</f>
        <v>5655</v>
      </c>
      <c r="G86" s="134">
        <v>5</v>
      </c>
      <c r="H86" s="134">
        <v>510</v>
      </c>
      <c r="I86" s="134">
        <v>5</v>
      </c>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row>
    <row r="87" spans="1:256" customFormat="1" ht="15.95" customHeight="1">
      <c r="A87" s="209" t="s">
        <v>1383</v>
      </c>
      <c r="B87" s="134">
        <f t="shared" si="9"/>
        <v>72816</v>
      </c>
      <c r="C87" s="134">
        <f t="shared" ref="C87" si="25">SUM(C88:C94)</f>
        <v>4004</v>
      </c>
      <c r="D87" s="134">
        <f t="shared" si="10"/>
        <v>68812</v>
      </c>
      <c r="E87" s="134">
        <f t="shared" ref="E87:I87" si="26">SUM(E88:E94)</f>
        <v>24468</v>
      </c>
      <c r="F87" s="134">
        <f t="shared" si="26"/>
        <v>19874</v>
      </c>
      <c r="G87" s="134">
        <f t="shared" si="26"/>
        <v>19311</v>
      </c>
      <c r="H87" s="134">
        <f t="shared" si="26"/>
        <v>3636</v>
      </c>
      <c r="I87" s="134">
        <f t="shared" si="26"/>
        <v>1523</v>
      </c>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row>
    <row r="88" spans="1:256" customFormat="1" ht="15.95" customHeight="1">
      <c r="A88" s="210" t="s">
        <v>1384</v>
      </c>
      <c r="B88" s="134">
        <f t="shared" si="9"/>
        <v>19413</v>
      </c>
      <c r="C88" s="134">
        <v>1836</v>
      </c>
      <c r="D88" s="134">
        <f t="shared" si="10"/>
        <v>17577</v>
      </c>
      <c r="E88" s="134">
        <v>3529</v>
      </c>
      <c r="F88" s="134">
        <f>3852+1800</f>
        <v>5652</v>
      </c>
      <c r="G88" s="134">
        <v>6811</v>
      </c>
      <c r="H88" s="134">
        <v>1027</v>
      </c>
      <c r="I88" s="134">
        <v>558</v>
      </c>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205"/>
      <c r="EZ88" s="205"/>
      <c r="FA88" s="205"/>
      <c r="FB88" s="205"/>
      <c r="FC88" s="205"/>
      <c r="FD88" s="205"/>
      <c r="FE88" s="205"/>
      <c r="FF88" s="205"/>
      <c r="FG88" s="205"/>
      <c r="FH88" s="205"/>
      <c r="FI88" s="205"/>
      <c r="FJ88" s="205"/>
      <c r="FK88" s="205"/>
      <c r="FL88" s="205"/>
      <c r="FM88" s="205"/>
      <c r="FN88" s="205"/>
      <c r="FO88" s="205"/>
      <c r="FP88" s="205"/>
      <c r="FQ88" s="205"/>
      <c r="FR88" s="205"/>
      <c r="FS88" s="205"/>
      <c r="FT88" s="205"/>
      <c r="FU88" s="205"/>
      <c r="FV88" s="205"/>
      <c r="FW88" s="205"/>
      <c r="FX88" s="205"/>
      <c r="FY88" s="205"/>
      <c r="FZ88" s="205"/>
      <c r="GA88" s="205"/>
      <c r="GB88" s="205"/>
      <c r="GC88" s="205"/>
      <c r="GD88" s="205"/>
      <c r="GE88" s="205"/>
      <c r="GF88" s="205"/>
      <c r="GG88" s="205"/>
      <c r="GH88" s="205"/>
      <c r="GI88" s="205"/>
      <c r="GJ88" s="205"/>
      <c r="GK88" s="205"/>
      <c r="GL88" s="205"/>
      <c r="GM88" s="205"/>
      <c r="GN88" s="205"/>
      <c r="GO88" s="205"/>
      <c r="GP88" s="205"/>
      <c r="GQ88" s="205"/>
      <c r="GR88" s="205"/>
      <c r="GS88" s="205"/>
      <c r="GT88" s="205"/>
      <c r="GU88" s="205"/>
      <c r="GV88" s="205"/>
      <c r="GW88" s="205"/>
      <c r="GX88" s="205"/>
      <c r="GY88" s="205"/>
      <c r="GZ88" s="205"/>
      <c r="HA88" s="205"/>
      <c r="HB88" s="205"/>
      <c r="HC88" s="205"/>
      <c r="HD88" s="205"/>
      <c r="HE88" s="205"/>
      <c r="HF88" s="205"/>
      <c r="HG88" s="205"/>
      <c r="HH88" s="205"/>
      <c r="HI88" s="205"/>
      <c r="HJ88" s="205"/>
      <c r="HK88" s="205"/>
      <c r="HL88" s="205"/>
      <c r="HM88" s="205"/>
      <c r="HN88" s="205"/>
      <c r="HO88" s="205"/>
      <c r="HP88" s="205"/>
      <c r="HQ88" s="205"/>
      <c r="HR88" s="205"/>
      <c r="HS88" s="205"/>
      <c r="HT88" s="205"/>
      <c r="HU88" s="205"/>
      <c r="HV88" s="205"/>
      <c r="HW88" s="205"/>
      <c r="HX88" s="205"/>
      <c r="HY88" s="205"/>
      <c r="HZ88" s="205"/>
      <c r="IA88" s="205"/>
      <c r="IB88" s="205"/>
      <c r="IC88" s="205"/>
      <c r="ID88" s="205"/>
      <c r="IE88" s="205"/>
      <c r="IF88" s="205"/>
      <c r="IG88" s="205"/>
      <c r="IH88" s="205"/>
      <c r="II88" s="205"/>
      <c r="IJ88" s="205"/>
      <c r="IK88" s="205"/>
      <c r="IL88" s="205"/>
      <c r="IM88" s="205"/>
      <c r="IN88" s="205"/>
      <c r="IO88" s="205"/>
      <c r="IP88" s="205"/>
      <c r="IQ88" s="205"/>
      <c r="IR88" s="205"/>
      <c r="IS88" s="205"/>
      <c r="IT88" s="205"/>
      <c r="IU88" s="205"/>
      <c r="IV88" s="205"/>
    </row>
    <row r="89" spans="1:256" customFormat="1" ht="15.95" customHeight="1">
      <c r="A89" s="210" t="s">
        <v>1385</v>
      </c>
      <c r="B89" s="134">
        <f t="shared" si="9"/>
        <v>6399</v>
      </c>
      <c r="C89" s="134">
        <v>304</v>
      </c>
      <c r="D89" s="134">
        <f t="shared" si="10"/>
        <v>6095</v>
      </c>
      <c r="E89" s="134">
        <v>2046</v>
      </c>
      <c r="F89" s="134">
        <f>789+2182</f>
        <v>2971</v>
      </c>
      <c r="G89" s="134">
        <v>1024</v>
      </c>
      <c r="H89" s="134">
        <v>54</v>
      </c>
      <c r="I89" s="134"/>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205"/>
      <c r="EZ89" s="205"/>
      <c r="FA89" s="205"/>
      <c r="FB89" s="205"/>
      <c r="FC89" s="205"/>
      <c r="FD89" s="205"/>
      <c r="FE89" s="205"/>
      <c r="FF89" s="205"/>
      <c r="FG89" s="205"/>
      <c r="FH89" s="205"/>
      <c r="FI89" s="205"/>
      <c r="FJ89" s="205"/>
      <c r="FK89" s="205"/>
      <c r="FL89" s="205"/>
      <c r="FM89" s="205"/>
      <c r="FN89" s="205"/>
      <c r="FO89" s="205"/>
      <c r="FP89" s="205"/>
      <c r="FQ89" s="205"/>
      <c r="FR89" s="205"/>
      <c r="FS89" s="205"/>
      <c r="FT89" s="205"/>
      <c r="FU89" s="205"/>
      <c r="FV89" s="205"/>
      <c r="FW89" s="205"/>
      <c r="FX89" s="205"/>
      <c r="FY89" s="205"/>
      <c r="FZ89" s="205"/>
      <c r="GA89" s="205"/>
      <c r="GB89" s="205"/>
      <c r="GC89" s="205"/>
      <c r="GD89" s="205"/>
      <c r="GE89" s="205"/>
      <c r="GF89" s="205"/>
      <c r="GG89" s="205"/>
      <c r="GH89" s="205"/>
      <c r="GI89" s="205"/>
      <c r="GJ89" s="205"/>
      <c r="GK89" s="205"/>
      <c r="GL89" s="205"/>
      <c r="GM89" s="205"/>
      <c r="GN89" s="205"/>
      <c r="GO89" s="205"/>
      <c r="GP89" s="205"/>
      <c r="GQ89" s="205"/>
      <c r="GR89" s="205"/>
      <c r="GS89" s="205"/>
      <c r="GT89" s="205"/>
      <c r="GU89" s="205"/>
      <c r="GV89" s="205"/>
      <c r="GW89" s="205"/>
      <c r="GX89" s="205"/>
      <c r="GY89" s="205"/>
      <c r="GZ89" s="205"/>
      <c r="HA89" s="205"/>
      <c r="HB89" s="205"/>
      <c r="HC89" s="205"/>
      <c r="HD89" s="205"/>
      <c r="HE89" s="205"/>
      <c r="HF89" s="205"/>
      <c r="HG89" s="205"/>
      <c r="HH89" s="205"/>
      <c r="HI89" s="205"/>
      <c r="HJ89" s="205"/>
      <c r="HK89" s="205"/>
      <c r="HL89" s="205"/>
      <c r="HM89" s="205"/>
      <c r="HN89" s="205"/>
      <c r="HO89" s="205"/>
      <c r="HP89" s="205"/>
      <c r="HQ89" s="205"/>
      <c r="HR89" s="205"/>
      <c r="HS89" s="205"/>
      <c r="HT89" s="205"/>
      <c r="HU89" s="205"/>
      <c r="HV89" s="205"/>
      <c r="HW89" s="205"/>
      <c r="HX89" s="205"/>
      <c r="HY89" s="205"/>
      <c r="HZ89" s="205"/>
      <c r="IA89" s="205"/>
      <c r="IB89" s="205"/>
      <c r="IC89" s="205"/>
      <c r="ID89" s="205"/>
      <c r="IE89" s="205"/>
      <c r="IF89" s="205"/>
      <c r="IG89" s="205"/>
      <c r="IH89" s="205"/>
      <c r="II89" s="205"/>
      <c r="IJ89" s="205"/>
      <c r="IK89" s="205"/>
      <c r="IL89" s="205"/>
      <c r="IM89" s="205"/>
      <c r="IN89" s="205"/>
      <c r="IO89" s="205"/>
      <c r="IP89" s="205"/>
      <c r="IQ89" s="205"/>
      <c r="IR89" s="205"/>
      <c r="IS89" s="205"/>
      <c r="IT89" s="205"/>
      <c r="IU89" s="205"/>
      <c r="IV89" s="205"/>
    </row>
    <row r="90" spans="1:256" customFormat="1" ht="15.95" customHeight="1">
      <c r="A90" s="210" t="s">
        <v>1386</v>
      </c>
      <c r="B90" s="134">
        <f t="shared" si="9"/>
        <v>15166</v>
      </c>
      <c r="C90" s="134">
        <v>525</v>
      </c>
      <c r="D90" s="134">
        <f t="shared" si="10"/>
        <v>14641</v>
      </c>
      <c r="E90" s="134">
        <v>8161</v>
      </c>
      <c r="F90" s="134">
        <f>38+2009</f>
        <v>2047</v>
      </c>
      <c r="G90" s="134">
        <v>3143</v>
      </c>
      <c r="H90" s="134">
        <v>1250</v>
      </c>
      <c r="I90" s="134">
        <v>40</v>
      </c>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5"/>
      <c r="EU90" s="205"/>
      <c r="EV90" s="205"/>
      <c r="EW90" s="205"/>
      <c r="EX90" s="205"/>
      <c r="EY90" s="205"/>
      <c r="EZ90" s="205"/>
      <c r="FA90" s="205"/>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c r="GF90" s="205"/>
      <c r="GG90" s="205"/>
      <c r="GH90" s="205"/>
      <c r="GI90" s="205"/>
      <c r="GJ90" s="205"/>
      <c r="GK90" s="205"/>
      <c r="GL90" s="205"/>
      <c r="GM90" s="205"/>
      <c r="GN90" s="205"/>
      <c r="GO90" s="205"/>
      <c r="GP90" s="205"/>
      <c r="GQ90" s="205"/>
      <c r="GR90" s="205"/>
      <c r="GS90" s="205"/>
      <c r="GT90" s="205"/>
      <c r="GU90" s="205"/>
      <c r="GV90" s="205"/>
      <c r="GW90" s="205"/>
      <c r="GX90" s="205"/>
      <c r="GY90" s="205"/>
      <c r="GZ90" s="205"/>
      <c r="HA90" s="205"/>
      <c r="HB90" s="205"/>
      <c r="HC90" s="205"/>
      <c r="HD90" s="205"/>
      <c r="HE90" s="205"/>
      <c r="HF90" s="205"/>
      <c r="HG90" s="205"/>
      <c r="HH90" s="205"/>
      <c r="HI90" s="205"/>
      <c r="HJ90" s="205"/>
      <c r="HK90" s="205"/>
      <c r="HL90" s="205"/>
      <c r="HM90" s="205"/>
      <c r="HN90" s="205"/>
      <c r="HO90" s="205"/>
      <c r="HP90" s="205"/>
      <c r="HQ90" s="205"/>
      <c r="HR90" s="205"/>
      <c r="HS90" s="205"/>
      <c r="HT90" s="205"/>
      <c r="HU90" s="205"/>
      <c r="HV90" s="205"/>
      <c r="HW90" s="205"/>
      <c r="HX90" s="205"/>
      <c r="HY90" s="205"/>
      <c r="HZ90" s="205"/>
      <c r="IA90" s="205"/>
      <c r="IB90" s="205"/>
      <c r="IC90" s="205"/>
      <c r="ID90" s="205"/>
      <c r="IE90" s="205"/>
      <c r="IF90" s="205"/>
      <c r="IG90" s="205"/>
      <c r="IH90" s="205"/>
      <c r="II90" s="205"/>
      <c r="IJ90" s="205"/>
      <c r="IK90" s="205"/>
      <c r="IL90" s="205"/>
      <c r="IM90" s="205"/>
      <c r="IN90" s="205"/>
      <c r="IO90" s="205"/>
      <c r="IP90" s="205"/>
      <c r="IQ90" s="205"/>
      <c r="IR90" s="205"/>
      <c r="IS90" s="205"/>
      <c r="IT90" s="205"/>
      <c r="IU90" s="205"/>
      <c r="IV90" s="205"/>
    </row>
    <row r="91" spans="1:256" customFormat="1" ht="15.95" customHeight="1">
      <c r="A91" s="210" t="s">
        <v>1387</v>
      </c>
      <c r="B91" s="134">
        <f t="shared" si="9"/>
        <v>23264</v>
      </c>
      <c r="C91" s="134">
        <v>539</v>
      </c>
      <c r="D91" s="134">
        <f t="shared" si="10"/>
        <v>22725</v>
      </c>
      <c r="E91" s="134">
        <v>8572</v>
      </c>
      <c r="F91" s="134">
        <v>6024</v>
      </c>
      <c r="G91" s="134">
        <v>6708</v>
      </c>
      <c r="H91" s="134">
        <v>759</v>
      </c>
      <c r="I91" s="134">
        <v>662</v>
      </c>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c r="FG91" s="205"/>
      <c r="FH91" s="205"/>
      <c r="FI91" s="205"/>
      <c r="FJ91" s="205"/>
      <c r="FK91" s="205"/>
      <c r="FL91" s="205"/>
      <c r="FM91" s="205"/>
      <c r="FN91" s="205"/>
      <c r="FO91" s="205"/>
      <c r="FP91" s="205"/>
      <c r="FQ91" s="205"/>
      <c r="FR91" s="205"/>
      <c r="FS91" s="205"/>
      <c r="FT91" s="205"/>
      <c r="FU91" s="205"/>
      <c r="FV91" s="205"/>
      <c r="FW91" s="205"/>
      <c r="FX91" s="205"/>
      <c r="FY91" s="205"/>
      <c r="FZ91" s="205"/>
      <c r="GA91" s="205"/>
      <c r="GB91" s="205"/>
      <c r="GC91" s="205"/>
      <c r="GD91" s="205"/>
      <c r="GE91" s="205"/>
      <c r="GF91" s="205"/>
      <c r="GG91" s="205"/>
      <c r="GH91" s="205"/>
      <c r="GI91" s="205"/>
      <c r="GJ91" s="205"/>
      <c r="GK91" s="205"/>
      <c r="GL91" s="205"/>
      <c r="GM91" s="205"/>
      <c r="GN91" s="205"/>
      <c r="GO91" s="205"/>
      <c r="GP91" s="205"/>
      <c r="GQ91" s="205"/>
      <c r="GR91" s="205"/>
      <c r="GS91" s="205"/>
      <c r="GT91" s="205"/>
      <c r="GU91" s="205"/>
      <c r="GV91" s="205"/>
      <c r="GW91" s="205"/>
      <c r="GX91" s="205"/>
      <c r="GY91" s="205"/>
      <c r="GZ91" s="205"/>
      <c r="HA91" s="205"/>
      <c r="HB91" s="205"/>
      <c r="HC91" s="205"/>
      <c r="HD91" s="205"/>
      <c r="HE91" s="205"/>
      <c r="HF91" s="205"/>
      <c r="HG91" s="205"/>
      <c r="HH91" s="205"/>
      <c r="HI91" s="205"/>
      <c r="HJ91" s="205"/>
      <c r="HK91" s="205"/>
      <c r="HL91" s="205"/>
      <c r="HM91" s="205"/>
      <c r="HN91" s="205"/>
      <c r="HO91" s="205"/>
      <c r="HP91" s="205"/>
      <c r="HQ91" s="205"/>
      <c r="HR91" s="205"/>
      <c r="HS91" s="205"/>
      <c r="HT91" s="205"/>
      <c r="HU91" s="205"/>
      <c r="HV91" s="205"/>
      <c r="HW91" s="205"/>
      <c r="HX91" s="205"/>
      <c r="HY91" s="205"/>
      <c r="HZ91" s="205"/>
      <c r="IA91" s="205"/>
      <c r="IB91" s="205"/>
      <c r="IC91" s="205"/>
      <c r="ID91" s="205"/>
      <c r="IE91" s="205"/>
      <c r="IF91" s="205"/>
      <c r="IG91" s="205"/>
      <c r="IH91" s="205"/>
      <c r="II91" s="205"/>
      <c r="IJ91" s="205"/>
      <c r="IK91" s="205"/>
      <c r="IL91" s="205"/>
      <c r="IM91" s="205"/>
      <c r="IN91" s="205"/>
      <c r="IO91" s="205"/>
      <c r="IP91" s="205"/>
      <c r="IQ91" s="205"/>
      <c r="IR91" s="205"/>
      <c r="IS91" s="205"/>
      <c r="IT91" s="205"/>
      <c r="IU91" s="205"/>
      <c r="IV91" s="205"/>
    </row>
    <row r="92" spans="1:256" customFormat="1" ht="15.95" customHeight="1">
      <c r="A92" s="210" t="s">
        <v>1388</v>
      </c>
      <c r="B92" s="134">
        <f t="shared" si="9"/>
        <v>4830</v>
      </c>
      <c r="C92" s="134"/>
      <c r="D92" s="134">
        <f t="shared" si="10"/>
        <v>4830</v>
      </c>
      <c r="E92" s="134">
        <v>1567</v>
      </c>
      <c r="F92" s="134">
        <v>1605</v>
      </c>
      <c r="G92" s="134">
        <v>1142</v>
      </c>
      <c r="H92" s="134">
        <v>449</v>
      </c>
      <c r="I92" s="134">
        <v>67</v>
      </c>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c r="FG92" s="205"/>
      <c r="FH92" s="205"/>
      <c r="FI92" s="205"/>
      <c r="FJ92" s="205"/>
      <c r="FK92" s="205"/>
      <c r="FL92" s="205"/>
      <c r="FM92" s="205"/>
      <c r="FN92" s="205"/>
      <c r="FO92" s="205"/>
      <c r="FP92" s="205"/>
      <c r="FQ92" s="205"/>
      <c r="FR92" s="205"/>
      <c r="FS92" s="205"/>
      <c r="FT92" s="205"/>
      <c r="FU92" s="205"/>
      <c r="FV92" s="205"/>
      <c r="FW92" s="205"/>
      <c r="FX92" s="205"/>
      <c r="FY92" s="205"/>
      <c r="FZ92" s="205"/>
      <c r="GA92" s="205"/>
      <c r="GB92" s="205"/>
      <c r="GC92" s="205"/>
      <c r="GD92" s="205"/>
      <c r="GE92" s="205"/>
      <c r="GF92" s="205"/>
      <c r="GG92" s="205"/>
      <c r="GH92" s="205"/>
      <c r="GI92" s="205"/>
      <c r="GJ92" s="205"/>
      <c r="GK92" s="205"/>
      <c r="GL92" s="205"/>
      <c r="GM92" s="205"/>
      <c r="GN92" s="205"/>
      <c r="GO92" s="205"/>
      <c r="GP92" s="205"/>
      <c r="GQ92" s="205"/>
      <c r="GR92" s="205"/>
      <c r="GS92" s="205"/>
      <c r="GT92" s="205"/>
      <c r="GU92" s="205"/>
      <c r="GV92" s="205"/>
      <c r="GW92" s="205"/>
      <c r="GX92" s="205"/>
      <c r="GY92" s="205"/>
      <c r="GZ92" s="205"/>
      <c r="HA92" s="205"/>
      <c r="HB92" s="205"/>
      <c r="HC92" s="205"/>
      <c r="HD92" s="205"/>
      <c r="HE92" s="205"/>
      <c r="HF92" s="205"/>
      <c r="HG92" s="205"/>
      <c r="HH92" s="205"/>
      <c r="HI92" s="205"/>
      <c r="HJ92" s="205"/>
      <c r="HK92" s="205"/>
      <c r="HL92" s="205"/>
      <c r="HM92" s="205"/>
      <c r="HN92" s="205"/>
      <c r="HO92" s="205"/>
      <c r="HP92" s="205"/>
      <c r="HQ92" s="205"/>
      <c r="HR92" s="205"/>
      <c r="HS92" s="205"/>
      <c r="HT92" s="205"/>
      <c r="HU92" s="205"/>
      <c r="HV92" s="205"/>
      <c r="HW92" s="205"/>
      <c r="HX92" s="205"/>
      <c r="HY92" s="205"/>
      <c r="HZ92" s="205"/>
      <c r="IA92" s="205"/>
      <c r="IB92" s="205"/>
      <c r="IC92" s="205"/>
      <c r="ID92" s="205"/>
      <c r="IE92" s="205"/>
      <c r="IF92" s="205"/>
      <c r="IG92" s="205"/>
      <c r="IH92" s="205"/>
      <c r="II92" s="205"/>
      <c r="IJ92" s="205"/>
      <c r="IK92" s="205"/>
      <c r="IL92" s="205"/>
      <c r="IM92" s="205"/>
      <c r="IN92" s="205"/>
      <c r="IO92" s="205"/>
      <c r="IP92" s="205"/>
      <c r="IQ92" s="205"/>
      <c r="IR92" s="205"/>
      <c r="IS92" s="205"/>
      <c r="IT92" s="205"/>
      <c r="IU92" s="205"/>
      <c r="IV92" s="205"/>
    </row>
    <row r="93" spans="1:256" customFormat="1" ht="15.95" customHeight="1">
      <c r="A93" s="210" t="s">
        <v>1389</v>
      </c>
      <c r="B93" s="134">
        <f t="shared" ref="B93:B97" si="27">SUM(C93:D93)</f>
        <v>3744</v>
      </c>
      <c r="C93" s="134">
        <v>800</v>
      </c>
      <c r="D93" s="134">
        <f t="shared" ref="D93:D97" si="28">SUM(E93:I93)</f>
        <v>2944</v>
      </c>
      <c r="E93" s="134">
        <v>593</v>
      </c>
      <c r="F93" s="134">
        <v>1575</v>
      </c>
      <c r="G93" s="134">
        <v>483</v>
      </c>
      <c r="H93" s="134">
        <v>97</v>
      </c>
      <c r="I93" s="134">
        <v>196</v>
      </c>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c r="FG93" s="205"/>
      <c r="FH93" s="205"/>
      <c r="FI93" s="205"/>
      <c r="FJ93" s="205"/>
      <c r="FK93" s="205"/>
      <c r="FL93" s="205"/>
      <c r="FM93" s="205"/>
      <c r="FN93" s="205"/>
      <c r="FO93" s="205"/>
      <c r="FP93" s="205"/>
      <c r="FQ93" s="205"/>
      <c r="FR93" s="205"/>
      <c r="FS93" s="205"/>
      <c r="FT93" s="205"/>
      <c r="FU93" s="205"/>
      <c r="FV93" s="205"/>
      <c r="FW93" s="205"/>
      <c r="FX93" s="205"/>
      <c r="FY93" s="205"/>
      <c r="FZ93" s="205"/>
      <c r="GA93" s="205"/>
      <c r="GB93" s="205"/>
      <c r="GC93" s="205"/>
      <c r="GD93" s="205"/>
      <c r="GE93" s="205"/>
      <c r="GF93" s="205"/>
      <c r="GG93" s="205"/>
      <c r="GH93" s="205"/>
      <c r="GI93" s="205"/>
      <c r="GJ93" s="205"/>
      <c r="GK93" s="205"/>
      <c r="GL93" s="205"/>
      <c r="GM93" s="205"/>
      <c r="GN93" s="205"/>
      <c r="GO93" s="205"/>
      <c r="GP93" s="205"/>
      <c r="GQ93" s="205"/>
      <c r="GR93" s="205"/>
      <c r="GS93" s="205"/>
      <c r="GT93" s="205"/>
      <c r="GU93" s="205"/>
      <c r="GV93" s="205"/>
      <c r="GW93" s="205"/>
      <c r="GX93" s="205"/>
      <c r="GY93" s="205"/>
      <c r="GZ93" s="205"/>
      <c r="HA93" s="205"/>
      <c r="HB93" s="205"/>
      <c r="HC93" s="205"/>
      <c r="HD93" s="205"/>
      <c r="HE93" s="205"/>
      <c r="HF93" s="205"/>
      <c r="HG93" s="205"/>
      <c r="HH93" s="205"/>
      <c r="HI93" s="205"/>
      <c r="HJ93" s="205"/>
      <c r="HK93" s="205"/>
      <c r="HL93" s="205"/>
      <c r="HM93" s="205"/>
      <c r="HN93" s="205"/>
      <c r="HO93" s="205"/>
      <c r="HP93" s="205"/>
      <c r="HQ93" s="205"/>
      <c r="HR93" s="205"/>
      <c r="HS93" s="205"/>
      <c r="HT93" s="205"/>
      <c r="HU93" s="205"/>
      <c r="HV93" s="205"/>
      <c r="HW93" s="205"/>
      <c r="HX93" s="205"/>
      <c r="HY93" s="205"/>
      <c r="HZ93" s="205"/>
      <c r="IA93" s="205"/>
      <c r="IB93" s="205"/>
      <c r="IC93" s="205"/>
      <c r="ID93" s="205"/>
      <c r="IE93" s="205"/>
      <c r="IF93" s="205"/>
      <c r="IG93" s="205"/>
      <c r="IH93" s="205"/>
      <c r="II93" s="205"/>
      <c r="IJ93" s="205"/>
      <c r="IK93" s="205"/>
      <c r="IL93" s="205"/>
      <c r="IM93" s="205"/>
      <c r="IN93" s="205"/>
      <c r="IO93" s="205"/>
      <c r="IP93" s="205"/>
      <c r="IQ93" s="205"/>
      <c r="IR93" s="205"/>
      <c r="IS93" s="205"/>
      <c r="IT93" s="205"/>
      <c r="IU93" s="205"/>
      <c r="IV93" s="205"/>
    </row>
    <row r="94" spans="1:256" customFormat="1" ht="15.95" hidden="1" customHeight="1">
      <c r="A94" s="210" t="s">
        <v>1390</v>
      </c>
      <c r="B94" s="134">
        <f t="shared" si="27"/>
        <v>0</v>
      </c>
      <c r="C94" s="134"/>
      <c r="D94" s="134">
        <f t="shared" si="28"/>
        <v>0</v>
      </c>
      <c r="E94" s="134"/>
      <c r="F94" s="134"/>
      <c r="G94" s="134"/>
      <c r="H94" s="134"/>
      <c r="I94" s="134"/>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c r="FG94" s="205"/>
      <c r="FH94" s="205"/>
      <c r="FI94" s="205"/>
      <c r="FJ94" s="205"/>
      <c r="FK94" s="205"/>
      <c r="FL94" s="205"/>
      <c r="FM94" s="205"/>
      <c r="FN94" s="205"/>
      <c r="FO94" s="205"/>
      <c r="FP94" s="205"/>
      <c r="FQ94" s="205"/>
      <c r="FR94" s="205"/>
      <c r="FS94" s="205"/>
      <c r="FT94" s="205"/>
      <c r="FU94" s="205"/>
      <c r="FV94" s="205"/>
      <c r="FW94" s="205"/>
      <c r="FX94" s="205"/>
      <c r="FY94" s="205"/>
      <c r="FZ94" s="205"/>
      <c r="GA94" s="205"/>
      <c r="GB94" s="205"/>
      <c r="GC94" s="205"/>
      <c r="GD94" s="205"/>
      <c r="GE94" s="205"/>
      <c r="GF94" s="205"/>
      <c r="GG94" s="205"/>
      <c r="GH94" s="205"/>
      <c r="GI94" s="205"/>
      <c r="GJ94" s="205"/>
      <c r="GK94" s="205"/>
      <c r="GL94" s="205"/>
      <c r="GM94" s="205"/>
      <c r="GN94" s="205"/>
      <c r="GO94" s="205"/>
      <c r="GP94" s="205"/>
      <c r="GQ94" s="205"/>
      <c r="GR94" s="205"/>
      <c r="GS94" s="205"/>
      <c r="GT94" s="205"/>
      <c r="GU94" s="205"/>
      <c r="GV94" s="205"/>
      <c r="GW94" s="205"/>
      <c r="GX94" s="205"/>
      <c r="GY94" s="205"/>
      <c r="GZ94" s="205"/>
      <c r="HA94" s="205"/>
      <c r="HB94" s="205"/>
      <c r="HC94" s="205"/>
      <c r="HD94" s="205"/>
      <c r="HE94" s="205"/>
      <c r="HF94" s="205"/>
      <c r="HG94" s="205"/>
      <c r="HH94" s="205"/>
      <c r="HI94" s="205"/>
      <c r="HJ94" s="205"/>
      <c r="HK94" s="205"/>
      <c r="HL94" s="205"/>
      <c r="HM94" s="205"/>
      <c r="HN94" s="205"/>
      <c r="HO94" s="205"/>
      <c r="HP94" s="205"/>
      <c r="HQ94" s="205"/>
      <c r="HR94" s="205"/>
      <c r="HS94" s="205"/>
      <c r="HT94" s="205"/>
      <c r="HU94" s="205"/>
      <c r="HV94" s="205"/>
      <c r="HW94" s="205"/>
      <c r="HX94" s="205"/>
      <c r="HY94" s="205"/>
      <c r="HZ94" s="205"/>
      <c r="IA94" s="205"/>
      <c r="IB94" s="205"/>
      <c r="IC94" s="205"/>
      <c r="ID94" s="205"/>
      <c r="IE94" s="205"/>
      <c r="IF94" s="205"/>
      <c r="IG94" s="205"/>
      <c r="IH94" s="205"/>
      <c r="II94" s="205"/>
      <c r="IJ94" s="205"/>
      <c r="IK94" s="205"/>
      <c r="IL94" s="205"/>
      <c r="IM94" s="205"/>
      <c r="IN94" s="205"/>
      <c r="IO94" s="205"/>
      <c r="IP94" s="205"/>
      <c r="IQ94" s="205"/>
      <c r="IR94" s="205"/>
      <c r="IS94" s="205"/>
      <c r="IT94" s="205"/>
      <c r="IU94" s="205"/>
      <c r="IV94" s="205"/>
    </row>
    <row r="95" spans="1:256" customFormat="1" ht="15.95" customHeight="1">
      <c r="A95" s="209" t="s">
        <v>1391</v>
      </c>
      <c r="B95" s="134">
        <f t="shared" si="27"/>
        <v>22568</v>
      </c>
      <c r="C95" s="134">
        <f t="shared" ref="C95" si="29">SUM(C96:C98)</f>
        <v>5248</v>
      </c>
      <c r="D95" s="134">
        <f t="shared" si="28"/>
        <v>17320</v>
      </c>
      <c r="E95" s="134">
        <f t="shared" ref="E95:I95" si="30">SUM(E96:E98)</f>
        <v>4694</v>
      </c>
      <c r="F95" s="134">
        <f t="shared" si="30"/>
        <v>3819</v>
      </c>
      <c r="G95" s="134">
        <f t="shared" si="30"/>
        <v>4203</v>
      </c>
      <c r="H95" s="134">
        <f t="shared" si="30"/>
        <v>2589</v>
      </c>
      <c r="I95" s="134">
        <f t="shared" si="30"/>
        <v>2015</v>
      </c>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205"/>
      <c r="EZ95" s="205"/>
      <c r="FA95" s="205"/>
      <c r="FB95" s="205"/>
      <c r="FC95" s="205"/>
      <c r="FD95" s="205"/>
      <c r="FE95" s="205"/>
      <c r="FF95" s="205"/>
      <c r="FG95" s="205"/>
      <c r="FH95" s="205"/>
      <c r="FI95" s="205"/>
      <c r="FJ95" s="205"/>
      <c r="FK95" s="205"/>
      <c r="FL95" s="205"/>
      <c r="FM95" s="205"/>
      <c r="FN95" s="205"/>
      <c r="FO95" s="205"/>
      <c r="FP95" s="205"/>
      <c r="FQ95" s="205"/>
      <c r="FR95" s="205"/>
      <c r="FS95" s="205"/>
      <c r="FT95" s="205"/>
      <c r="FU95" s="205"/>
      <c r="FV95" s="205"/>
      <c r="FW95" s="205"/>
      <c r="FX95" s="205"/>
      <c r="FY95" s="205"/>
      <c r="FZ95" s="205"/>
      <c r="GA95" s="205"/>
      <c r="GB95" s="205"/>
      <c r="GC95" s="205"/>
      <c r="GD95" s="205"/>
      <c r="GE95" s="205"/>
      <c r="GF95" s="205"/>
      <c r="GG95" s="205"/>
      <c r="GH95" s="205"/>
      <c r="GI95" s="205"/>
      <c r="GJ95" s="205"/>
      <c r="GK95" s="205"/>
      <c r="GL95" s="205"/>
      <c r="GM95" s="205"/>
      <c r="GN95" s="205"/>
      <c r="GO95" s="205"/>
      <c r="GP95" s="205"/>
      <c r="GQ95" s="205"/>
      <c r="GR95" s="205"/>
      <c r="GS95" s="205"/>
      <c r="GT95" s="205"/>
      <c r="GU95" s="205"/>
      <c r="GV95" s="205"/>
      <c r="GW95" s="205"/>
      <c r="GX95" s="205"/>
      <c r="GY95" s="205"/>
      <c r="GZ95" s="205"/>
      <c r="HA95" s="205"/>
      <c r="HB95" s="205"/>
      <c r="HC95" s="205"/>
      <c r="HD95" s="205"/>
      <c r="HE95" s="205"/>
      <c r="HF95" s="205"/>
      <c r="HG95" s="205"/>
      <c r="HH95" s="205"/>
      <c r="HI95" s="205"/>
      <c r="HJ95" s="205"/>
      <c r="HK95" s="205"/>
      <c r="HL95" s="205"/>
      <c r="HM95" s="205"/>
      <c r="HN95" s="205"/>
      <c r="HO95" s="205"/>
      <c r="HP95" s="205"/>
      <c r="HQ95" s="205"/>
      <c r="HR95" s="205"/>
      <c r="HS95" s="205"/>
      <c r="HT95" s="205"/>
      <c r="HU95" s="205"/>
      <c r="HV95" s="205"/>
      <c r="HW95" s="205"/>
      <c r="HX95" s="205"/>
      <c r="HY95" s="205"/>
      <c r="HZ95" s="205"/>
      <c r="IA95" s="205"/>
      <c r="IB95" s="205"/>
      <c r="IC95" s="205"/>
      <c r="ID95" s="205"/>
      <c r="IE95" s="205"/>
      <c r="IF95" s="205"/>
      <c r="IG95" s="205"/>
      <c r="IH95" s="205"/>
      <c r="II95" s="205"/>
      <c r="IJ95" s="205"/>
      <c r="IK95" s="205"/>
      <c r="IL95" s="205"/>
      <c r="IM95" s="205"/>
      <c r="IN95" s="205"/>
      <c r="IO95" s="205"/>
      <c r="IP95" s="205"/>
      <c r="IQ95" s="205"/>
      <c r="IR95" s="205"/>
      <c r="IS95" s="205"/>
      <c r="IT95" s="205"/>
      <c r="IU95" s="205"/>
      <c r="IV95" s="205"/>
    </row>
    <row r="96" spans="1:256" customFormat="1" ht="15.95" customHeight="1">
      <c r="A96" s="210" t="s">
        <v>1392</v>
      </c>
      <c r="B96" s="134">
        <f t="shared" si="27"/>
        <v>8128</v>
      </c>
      <c r="C96" s="134">
        <f>4351-2500</f>
        <v>1851</v>
      </c>
      <c r="D96" s="134">
        <f t="shared" si="28"/>
        <v>6277</v>
      </c>
      <c r="E96" s="134">
        <f>1524+500</f>
        <v>2024</v>
      </c>
      <c r="F96" s="134">
        <f>658+35+500</f>
        <v>1193</v>
      </c>
      <c r="G96" s="134">
        <f>1369+500</f>
        <v>1869</v>
      </c>
      <c r="H96" s="134">
        <f>176+500</f>
        <v>676</v>
      </c>
      <c r="I96" s="134">
        <f>15+500</f>
        <v>515</v>
      </c>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c r="FZ96" s="205"/>
      <c r="GA96" s="205"/>
      <c r="GB96" s="205"/>
      <c r="GC96" s="205"/>
      <c r="GD96" s="205"/>
      <c r="GE96" s="205"/>
      <c r="GF96" s="205"/>
      <c r="GG96" s="205"/>
      <c r="GH96" s="205"/>
      <c r="GI96" s="205"/>
      <c r="GJ96" s="205"/>
      <c r="GK96" s="205"/>
      <c r="GL96" s="205"/>
      <c r="GM96" s="205"/>
      <c r="GN96" s="205"/>
      <c r="GO96" s="205"/>
      <c r="GP96" s="205"/>
      <c r="GQ96" s="205"/>
      <c r="GR96" s="205"/>
      <c r="GS96" s="205"/>
      <c r="GT96" s="205"/>
      <c r="GU96" s="205"/>
      <c r="GV96" s="205"/>
      <c r="GW96" s="205"/>
      <c r="GX96" s="205"/>
      <c r="GY96" s="205"/>
      <c r="GZ96" s="205"/>
      <c r="HA96" s="205"/>
      <c r="HB96" s="205"/>
      <c r="HC96" s="205"/>
      <c r="HD96" s="205"/>
      <c r="HE96" s="205"/>
      <c r="HF96" s="205"/>
      <c r="HG96" s="205"/>
      <c r="HH96" s="205"/>
      <c r="HI96" s="205"/>
      <c r="HJ96" s="205"/>
      <c r="HK96" s="205"/>
      <c r="HL96" s="205"/>
      <c r="HM96" s="205"/>
      <c r="HN96" s="205"/>
      <c r="HO96" s="205"/>
      <c r="HP96" s="205"/>
      <c r="HQ96" s="205"/>
      <c r="HR96" s="205"/>
      <c r="HS96" s="205"/>
      <c r="HT96" s="205"/>
      <c r="HU96" s="205"/>
      <c r="HV96" s="205"/>
      <c r="HW96" s="205"/>
      <c r="HX96" s="205"/>
      <c r="HY96" s="205"/>
      <c r="HZ96" s="205"/>
      <c r="IA96" s="205"/>
      <c r="IB96" s="205"/>
      <c r="IC96" s="205"/>
      <c r="ID96" s="205"/>
      <c r="IE96" s="205"/>
      <c r="IF96" s="205"/>
      <c r="IG96" s="205"/>
      <c r="IH96" s="205"/>
      <c r="II96" s="205"/>
      <c r="IJ96" s="205"/>
      <c r="IK96" s="205"/>
      <c r="IL96" s="205"/>
      <c r="IM96" s="205"/>
      <c r="IN96" s="205"/>
      <c r="IO96" s="205"/>
      <c r="IP96" s="205"/>
      <c r="IQ96" s="205"/>
      <c r="IR96" s="205"/>
      <c r="IS96" s="205"/>
      <c r="IT96" s="205"/>
      <c r="IU96" s="205"/>
      <c r="IV96" s="205"/>
    </row>
    <row r="97" spans="1:256" customFormat="1" ht="15.95" customHeight="1">
      <c r="A97" s="210" t="s">
        <v>1393</v>
      </c>
      <c r="B97" s="134">
        <f t="shared" si="27"/>
        <v>762</v>
      </c>
      <c r="C97" s="134">
        <v>762</v>
      </c>
      <c r="D97" s="134">
        <f t="shared" si="28"/>
        <v>0</v>
      </c>
      <c r="E97" s="134"/>
      <c r="F97" s="134"/>
      <c r="G97" s="134"/>
      <c r="H97" s="134"/>
      <c r="I97" s="134"/>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c r="EC97" s="205"/>
      <c r="ED97" s="205"/>
      <c r="EE97" s="205"/>
      <c r="EF97" s="205"/>
      <c r="EG97" s="205"/>
      <c r="EH97" s="205"/>
      <c r="EI97" s="205"/>
      <c r="EJ97" s="205"/>
      <c r="EK97" s="205"/>
      <c r="EL97" s="205"/>
      <c r="EM97" s="205"/>
      <c r="EN97" s="205"/>
      <c r="EO97" s="205"/>
      <c r="EP97" s="205"/>
      <c r="EQ97" s="205"/>
      <c r="ER97" s="205"/>
      <c r="ES97" s="205"/>
      <c r="ET97" s="205"/>
      <c r="EU97" s="205"/>
      <c r="EV97" s="205"/>
      <c r="EW97" s="205"/>
      <c r="EX97" s="205"/>
      <c r="EY97" s="205"/>
      <c r="EZ97" s="205"/>
      <c r="FA97" s="205"/>
      <c r="FB97" s="205"/>
      <c r="FC97" s="205"/>
      <c r="FD97" s="205"/>
      <c r="FE97" s="205"/>
      <c r="FF97" s="205"/>
      <c r="FG97" s="205"/>
      <c r="FH97" s="205"/>
      <c r="FI97" s="205"/>
      <c r="FJ97" s="205"/>
      <c r="FK97" s="205"/>
      <c r="FL97" s="205"/>
      <c r="FM97" s="205"/>
      <c r="FN97" s="205"/>
      <c r="FO97" s="205"/>
      <c r="FP97" s="205"/>
      <c r="FQ97" s="205"/>
      <c r="FR97" s="205"/>
      <c r="FS97" s="205"/>
      <c r="FT97" s="205"/>
      <c r="FU97" s="205"/>
      <c r="FV97" s="205"/>
      <c r="FW97" s="205"/>
      <c r="FX97" s="205"/>
      <c r="FY97" s="205"/>
      <c r="FZ97" s="205"/>
      <c r="GA97" s="205"/>
      <c r="GB97" s="205"/>
      <c r="GC97" s="205"/>
      <c r="GD97" s="205"/>
      <c r="GE97" s="205"/>
      <c r="GF97" s="205"/>
      <c r="GG97" s="205"/>
      <c r="GH97" s="205"/>
      <c r="GI97" s="205"/>
      <c r="GJ97" s="205"/>
      <c r="GK97" s="205"/>
      <c r="GL97" s="205"/>
      <c r="GM97" s="205"/>
      <c r="GN97" s="205"/>
      <c r="GO97" s="205"/>
      <c r="GP97" s="205"/>
      <c r="GQ97" s="205"/>
      <c r="GR97" s="205"/>
      <c r="GS97" s="205"/>
      <c r="GT97" s="205"/>
      <c r="GU97" s="205"/>
      <c r="GV97" s="205"/>
      <c r="GW97" s="205"/>
      <c r="GX97" s="205"/>
      <c r="GY97" s="205"/>
      <c r="GZ97" s="205"/>
      <c r="HA97" s="205"/>
      <c r="HB97" s="205"/>
      <c r="HC97" s="205"/>
      <c r="HD97" s="205"/>
      <c r="HE97" s="205"/>
      <c r="HF97" s="205"/>
      <c r="HG97" s="205"/>
      <c r="HH97" s="205"/>
      <c r="HI97" s="205"/>
      <c r="HJ97" s="205"/>
      <c r="HK97" s="205"/>
      <c r="HL97" s="205"/>
      <c r="HM97" s="205"/>
      <c r="HN97" s="205"/>
      <c r="HO97" s="205"/>
      <c r="HP97" s="205"/>
      <c r="HQ97" s="205"/>
      <c r="HR97" s="205"/>
      <c r="HS97" s="205"/>
      <c r="HT97" s="205"/>
      <c r="HU97" s="205"/>
      <c r="HV97" s="205"/>
      <c r="HW97" s="205"/>
      <c r="HX97" s="205"/>
      <c r="HY97" s="205"/>
      <c r="HZ97" s="205"/>
      <c r="IA97" s="205"/>
      <c r="IB97" s="205"/>
      <c r="IC97" s="205"/>
      <c r="ID97" s="205"/>
      <c r="IE97" s="205"/>
      <c r="IF97" s="205"/>
      <c r="IG97" s="205"/>
      <c r="IH97" s="205"/>
      <c r="II97" s="205"/>
      <c r="IJ97" s="205"/>
      <c r="IK97" s="205"/>
      <c r="IL97" s="205"/>
      <c r="IM97" s="205"/>
      <c r="IN97" s="205"/>
      <c r="IO97" s="205"/>
      <c r="IP97" s="205"/>
      <c r="IQ97" s="205"/>
      <c r="IR97" s="205"/>
      <c r="IS97" s="205"/>
      <c r="IT97" s="205"/>
      <c r="IU97" s="205"/>
      <c r="IV97" s="205"/>
    </row>
    <row r="98" spans="1:256" customFormat="1" ht="15.95" customHeight="1">
      <c r="A98" s="210" t="s">
        <v>1394</v>
      </c>
      <c r="B98" s="134">
        <f t="shared" ref="B98:B125" si="31">SUM(C98:D98)</f>
        <v>13678</v>
      </c>
      <c r="C98" s="134">
        <f>6635-4000</f>
        <v>2635</v>
      </c>
      <c r="D98" s="134">
        <f t="shared" ref="D98:D125" si="32">SUM(E98:I98)</f>
        <v>11043</v>
      </c>
      <c r="E98" s="134">
        <f>3170-500</f>
        <v>2670</v>
      </c>
      <c r="F98" s="134">
        <f>2126+500</f>
        <v>2626</v>
      </c>
      <c r="G98" s="134">
        <f>1334+1000</f>
        <v>2334</v>
      </c>
      <c r="H98" s="134">
        <f>413+1500</f>
        <v>1913</v>
      </c>
      <c r="I98" s="134">
        <v>1500</v>
      </c>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05"/>
      <c r="EF98" s="205"/>
      <c r="EG98" s="205"/>
      <c r="EH98" s="205"/>
      <c r="EI98" s="205"/>
      <c r="EJ98" s="205"/>
      <c r="EK98" s="205"/>
      <c r="EL98" s="205"/>
      <c r="EM98" s="205"/>
      <c r="EN98" s="205"/>
      <c r="EO98" s="205"/>
      <c r="EP98" s="205"/>
      <c r="EQ98" s="205"/>
      <c r="ER98" s="205"/>
      <c r="ES98" s="205"/>
      <c r="ET98" s="205"/>
      <c r="EU98" s="205"/>
      <c r="EV98" s="205"/>
      <c r="EW98" s="205"/>
      <c r="EX98" s="205"/>
      <c r="EY98" s="205"/>
      <c r="EZ98" s="205"/>
      <c r="FA98" s="205"/>
      <c r="FB98" s="205"/>
      <c r="FC98" s="205"/>
      <c r="FD98" s="205"/>
      <c r="FE98" s="205"/>
      <c r="FF98" s="205"/>
      <c r="FG98" s="205"/>
      <c r="FH98" s="205"/>
      <c r="FI98" s="205"/>
      <c r="FJ98" s="205"/>
      <c r="FK98" s="205"/>
      <c r="FL98" s="205"/>
      <c r="FM98" s="205"/>
      <c r="FN98" s="205"/>
      <c r="FO98" s="205"/>
      <c r="FP98" s="205"/>
      <c r="FQ98" s="205"/>
      <c r="FR98" s="205"/>
      <c r="FS98" s="205"/>
      <c r="FT98" s="205"/>
      <c r="FU98" s="205"/>
      <c r="FV98" s="205"/>
      <c r="FW98" s="205"/>
      <c r="FX98" s="205"/>
      <c r="FY98" s="205"/>
      <c r="FZ98" s="205"/>
      <c r="GA98" s="205"/>
      <c r="GB98" s="205"/>
      <c r="GC98" s="205"/>
      <c r="GD98" s="205"/>
      <c r="GE98" s="205"/>
      <c r="GF98" s="205"/>
      <c r="GG98" s="205"/>
      <c r="GH98" s="205"/>
      <c r="GI98" s="205"/>
      <c r="GJ98" s="205"/>
      <c r="GK98" s="205"/>
      <c r="GL98" s="205"/>
      <c r="GM98" s="205"/>
      <c r="GN98" s="205"/>
      <c r="GO98" s="205"/>
      <c r="GP98" s="205"/>
      <c r="GQ98" s="205"/>
      <c r="GR98" s="205"/>
      <c r="GS98" s="205"/>
      <c r="GT98" s="205"/>
      <c r="GU98" s="205"/>
      <c r="GV98" s="205"/>
      <c r="GW98" s="205"/>
      <c r="GX98" s="205"/>
      <c r="GY98" s="205"/>
      <c r="GZ98" s="205"/>
      <c r="HA98" s="205"/>
      <c r="HB98" s="205"/>
      <c r="HC98" s="205"/>
      <c r="HD98" s="205"/>
      <c r="HE98" s="205"/>
      <c r="HF98" s="205"/>
      <c r="HG98" s="205"/>
      <c r="HH98" s="205"/>
      <c r="HI98" s="205"/>
      <c r="HJ98" s="205"/>
      <c r="HK98" s="205"/>
      <c r="HL98" s="205"/>
      <c r="HM98" s="205"/>
      <c r="HN98" s="205"/>
      <c r="HO98" s="205"/>
      <c r="HP98" s="205"/>
      <c r="HQ98" s="205"/>
      <c r="HR98" s="205"/>
      <c r="HS98" s="205"/>
      <c r="HT98" s="205"/>
      <c r="HU98" s="205"/>
      <c r="HV98" s="205"/>
      <c r="HW98" s="205"/>
      <c r="HX98" s="205"/>
      <c r="HY98" s="205"/>
      <c r="HZ98" s="205"/>
      <c r="IA98" s="205"/>
      <c r="IB98" s="205"/>
      <c r="IC98" s="205"/>
      <c r="ID98" s="205"/>
      <c r="IE98" s="205"/>
      <c r="IF98" s="205"/>
      <c r="IG98" s="205"/>
      <c r="IH98" s="205"/>
      <c r="II98" s="205"/>
      <c r="IJ98" s="205"/>
      <c r="IK98" s="205"/>
      <c r="IL98" s="205"/>
      <c r="IM98" s="205"/>
      <c r="IN98" s="205"/>
      <c r="IO98" s="205"/>
      <c r="IP98" s="205"/>
      <c r="IQ98" s="205"/>
      <c r="IR98" s="205"/>
      <c r="IS98" s="205"/>
      <c r="IT98" s="205"/>
      <c r="IU98" s="205"/>
      <c r="IV98" s="205"/>
    </row>
    <row r="99" spans="1:256" customFormat="1" ht="15.95" customHeight="1">
      <c r="A99" s="209" t="s">
        <v>1395</v>
      </c>
      <c r="B99" s="134">
        <f t="shared" si="31"/>
        <v>2095</v>
      </c>
      <c r="C99" s="134">
        <f t="shared" ref="C99" si="33">SUM(C100:C104)</f>
        <v>13</v>
      </c>
      <c r="D99" s="134">
        <f t="shared" si="32"/>
        <v>2082</v>
      </c>
      <c r="E99" s="134">
        <f t="shared" ref="E99:I99" si="34">SUM(E100:E104)</f>
        <v>400</v>
      </c>
      <c r="F99" s="134">
        <f t="shared" si="34"/>
        <v>0</v>
      </c>
      <c r="G99" s="134">
        <f t="shared" si="34"/>
        <v>10</v>
      </c>
      <c r="H99" s="134">
        <f t="shared" si="34"/>
        <v>682</v>
      </c>
      <c r="I99" s="134">
        <f t="shared" si="34"/>
        <v>990</v>
      </c>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c r="FG99" s="205"/>
      <c r="FH99" s="205"/>
      <c r="FI99" s="205"/>
      <c r="FJ99" s="205"/>
      <c r="FK99" s="205"/>
      <c r="FL99" s="205"/>
      <c r="FM99" s="205"/>
      <c r="FN99" s="205"/>
      <c r="FO99" s="205"/>
      <c r="FP99" s="205"/>
      <c r="FQ99" s="205"/>
      <c r="FR99" s="205"/>
      <c r="FS99" s="205"/>
      <c r="FT99" s="205"/>
      <c r="FU99" s="205"/>
      <c r="FV99" s="205"/>
      <c r="FW99" s="205"/>
      <c r="FX99" s="205"/>
      <c r="FY99" s="205"/>
      <c r="FZ99" s="205"/>
      <c r="GA99" s="205"/>
      <c r="GB99" s="205"/>
      <c r="GC99" s="205"/>
      <c r="GD99" s="205"/>
      <c r="GE99" s="205"/>
      <c r="GF99" s="205"/>
      <c r="GG99" s="205"/>
      <c r="GH99" s="205"/>
      <c r="GI99" s="205"/>
      <c r="GJ99" s="205"/>
      <c r="GK99" s="205"/>
      <c r="GL99" s="205"/>
      <c r="GM99" s="205"/>
      <c r="GN99" s="205"/>
      <c r="GO99" s="205"/>
      <c r="GP99" s="205"/>
      <c r="GQ99" s="205"/>
      <c r="GR99" s="205"/>
      <c r="GS99" s="205"/>
      <c r="GT99" s="205"/>
      <c r="GU99" s="205"/>
      <c r="GV99" s="205"/>
      <c r="GW99" s="205"/>
      <c r="GX99" s="205"/>
      <c r="GY99" s="205"/>
      <c r="GZ99" s="205"/>
      <c r="HA99" s="205"/>
      <c r="HB99" s="205"/>
      <c r="HC99" s="205"/>
      <c r="HD99" s="205"/>
      <c r="HE99" s="205"/>
      <c r="HF99" s="205"/>
      <c r="HG99" s="205"/>
      <c r="HH99" s="205"/>
      <c r="HI99" s="205"/>
      <c r="HJ99" s="205"/>
      <c r="HK99" s="205"/>
      <c r="HL99" s="205"/>
      <c r="HM99" s="205"/>
      <c r="HN99" s="205"/>
      <c r="HO99" s="205"/>
      <c r="HP99" s="205"/>
      <c r="HQ99" s="205"/>
      <c r="HR99" s="205"/>
      <c r="HS99" s="205"/>
      <c r="HT99" s="205"/>
      <c r="HU99" s="205"/>
      <c r="HV99" s="205"/>
      <c r="HW99" s="205"/>
      <c r="HX99" s="205"/>
      <c r="HY99" s="205"/>
      <c r="HZ99" s="205"/>
      <c r="IA99" s="205"/>
      <c r="IB99" s="205"/>
      <c r="IC99" s="205"/>
      <c r="ID99" s="205"/>
      <c r="IE99" s="205"/>
      <c r="IF99" s="205"/>
      <c r="IG99" s="205"/>
      <c r="IH99" s="205"/>
      <c r="II99" s="205"/>
      <c r="IJ99" s="205"/>
      <c r="IK99" s="205"/>
      <c r="IL99" s="205"/>
      <c r="IM99" s="205"/>
      <c r="IN99" s="205"/>
      <c r="IO99" s="205"/>
      <c r="IP99" s="205"/>
      <c r="IQ99" s="205"/>
      <c r="IR99" s="205"/>
      <c r="IS99" s="205"/>
      <c r="IT99" s="205"/>
      <c r="IU99" s="205"/>
      <c r="IV99" s="205"/>
    </row>
    <row r="100" spans="1:256" customFormat="1" ht="15.95" customHeight="1">
      <c r="A100" s="210" t="s">
        <v>1396</v>
      </c>
      <c r="B100" s="134">
        <f t="shared" si="31"/>
        <v>100</v>
      </c>
      <c r="C100" s="134"/>
      <c r="D100" s="134">
        <f t="shared" si="32"/>
        <v>100</v>
      </c>
      <c r="E100" s="134">
        <v>100</v>
      </c>
      <c r="F100" s="134"/>
      <c r="G100" s="134"/>
      <c r="H100" s="134"/>
      <c r="I100" s="134"/>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c r="FG100" s="205"/>
      <c r="FH100" s="205"/>
      <c r="FI100" s="205"/>
      <c r="FJ100" s="205"/>
      <c r="FK100" s="205"/>
      <c r="FL100" s="205"/>
      <c r="FM100" s="205"/>
      <c r="FN100" s="205"/>
      <c r="FO100" s="205"/>
      <c r="FP100" s="205"/>
      <c r="FQ100" s="205"/>
      <c r="FR100" s="205"/>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05"/>
      <c r="GQ100" s="205"/>
      <c r="GR100" s="205"/>
      <c r="GS100" s="205"/>
      <c r="GT100" s="205"/>
      <c r="GU100" s="205"/>
      <c r="GV100" s="205"/>
      <c r="GW100" s="205"/>
      <c r="GX100" s="205"/>
      <c r="GY100" s="205"/>
      <c r="GZ100" s="205"/>
      <c r="HA100" s="205"/>
      <c r="HB100" s="205"/>
      <c r="HC100" s="205"/>
      <c r="HD100" s="205"/>
      <c r="HE100" s="205"/>
      <c r="HF100" s="205"/>
      <c r="HG100" s="205"/>
      <c r="HH100" s="205"/>
      <c r="HI100" s="205"/>
      <c r="HJ100" s="205"/>
      <c r="HK100" s="205"/>
      <c r="HL100" s="205"/>
      <c r="HM100" s="205"/>
      <c r="HN100" s="205"/>
      <c r="HO100" s="205"/>
      <c r="HP100" s="205"/>
      <c r="HQ100" s="205"/>
      <c r="HR100" s="205"/>
      <c r="HS100" s="205"/>
      <c r="HT100" s="205"/>
      <c r="HU100" s="205"/>
      <c r="HV100" s="205"/>
      <c r="HW100" s="205"/>
      <c r="HX100" s="205"/>
      <c r="HY100" s="205"/>
      <c r="HZ100" s="205"/>
      <c r="IA100" s="205"/>
      <c r="IB100" s="205"/>
      <c r="IC100" s="205"/>
      <c r="ID100" s="205"/>
      <c r="IE100" s="205"/>
      <c r="IF100" s="205"/>
      <c r="IG100" s="205"/>
      <c r="IH100" s="205"/>
      <c r="II100" s="205"/>
      <c r="IJ100" s="205"/>
      <c r="IK100" s="205"/>
      <c r="IL100" s="205"/>
      <c r="IM100" s="205"/>
      <c r="IN100" s="205"/>
      <c r="IO100" s="205"/>
      <c r="IP100" s="205"/>
      <c r="IQ100" s="205"/>
      <c r="IR100" s="205"/>
      <c r="IS100" s="205"/>
      <c r="IT100" s="205"/>
      <c r="IU100" s="205"/>
      <c r="IV100" s="205"/>
    </row>
    <row r="101" spans="1:256" customFormat="1" ht="15.95" customHeight="1">
      <c r="A101" s="210" t="s">
        <v>1397</v>
      </c>
      <c r="B101" s="134">
        <f t="shared" si="31"/>
        <v>250</v>
      </c>
      <c r="C101" s="134"/>
      <c r="D101" s="134">
        <f t="shared" si="32"/>
        <v>250</v>
      </c>
      <c r="E101" s="134">
        <v>150</v>
      </c>
      <c r="F101" s="134"/>
      <c r="G101" s="134"/>
      <c r="H101" s="134">
        <v>100</v>
      </c>
      <c r="I101" s="134"/>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c r="FG101" s="205"/>
      <c r="FH101" s="205"/>
      <c r="FI101" s="205"/>
      <c r="FJ101" s="205"/>
      <c r="FK101" s="205"/>
      <c r="FL101" s="205"/>
      <c r="FM101" s="205"/>
      <c r="FN101" s="205"/>
      <c r="FO101" s="205"/>
      <c r="FP101" s="205"/>
      <c r="FQ101" s="205"/>
      <c r="FR101" s="205"/>
      <c r="FS101" s="205"/>
      <c r="FT101" s="205"/>
      <c r="FU101" s="205"/>
      <c r="FV101" s="205"/>
      <c r="FW101" s="205"/>
      <c r="FX101" s="205"/>
      <c r="FY101" s="205"/>
      <c r="FZ101" s="205"/>
      <c r="GA101" s="205"/>
      <c r="GB101" s="205"/>
      <c r="GC101" s="205"/>
      <c r="GD101" s="205"/>
      <c r="GE101" s="205"/>
      <c r="GF101" s="205"/>
      <c r="GG101" s="205"/>
      <c r="GH101" s="205"/>
      <c r="GI101" s="205"/>
      <c r="GJ101" s="205"/>
      <c r="GK101" s="205"/>
      <c r="GL101" s="205"/>
      <c r="GM101" s="205"/>
      <c r="GN101" s="205"/>
      <c r="GO101" s="205"/>
      <c r="GP101" s="205"/>
      <c r="GQ101" s="205"/>
      <c r="GR101" s="205"/>
      <c r="GS101" s="205"/>
      <c r="GT101" s="205"/>
      <c r="GU101" s="205"/>
      <c r="GV101" s="205"/>
      <c r="GW101" s="205"/>
      <c r="GX101" s="205"/>
      <c r="GY101" s="205"/>
      <c r="GZ101" s="205"/>
      <c r="HA101" s="205"/>
      <c r="HB101" s="205"/>
      <c r="HC101" s="205"/>
      <c r="HD101" s="205"/>
      <c r="HE101" s="205"/>
      <c r="HF101" s="205"/>
      <c r="HG101" s="205"/>
      <c r="HH101" s="205"/>
      <c r="HI101" s="205"/>
      <c r="HJ101" s="205"/>
      <c r="HK101" s="205"/>
      <c r="HL101" s="205"/>
      <c r="HM101" s="205"/>
      <c r="HN101" s="205"/>
      <c r="HO101" s="205"/>
      <c r="HP101" s="205"/>
      <c r="HQ101" s="205"/>
      <c r="HR101" s="205"/>
      <c r="HS101" s="205"/>
      <c r="HT101" s="205"/>
      <c r="HU101" s="205"/>
      <c r="HV101" s="205"/>
      <c r="HW101" s="205"/>
      <c r="HX101" s="205"/>
      <c r="HY101" s="205"/>
      <c r="HZ101" s="205"/>
      <c r="IA101" s="205"/>
      <c r="IB101" s="205"/>
      <c r="IC101" s="205"/>
      <c r="ID101" s="205"/>
      <c r="IE101" s="205"/>
      <c r="IF101" s="205"/>
      <c r="IG101" s="205"/>
      <c r="IH101" s="205"/>
      <c r="II101" s="205"/>
      <c r="IJ101" s="205"/>
      <c r="IK101" s="205"/>
      <c r="IL101" s="205"/>
      <c r="IM101" s="205"/>
      <c r="IN101" s="205"/>
      <c r="IO101" s="205"/>
      <c r="IP101" s="205"/>
      <c r="IQ101" s="205"/>
      <c r="IR101" s="205"/>
      <c r="IS101" s="205"/>
      <c r="IT101" s="205"/>
      <c r="IU101" s="205"/>
      <c r="IV101" s="205"/>
    </row>
    <row r="102" spans="1:256" customFormat="1" ht="15.95" hidden="1" customHeight="1">
      <c r="A102" s="210" t="s">
        <v>1398</v>
      </c>
      <c r="B102" s="134">
        <f t="shared" si="31"/>
        <v>0</v>
      </c>
      <c r="C102" s="134"/>
      <c r="D102" s="134">
        <f t="shared" si="32"/>
        <v>0</v>
      </c>
      <c r="E102" s="134"/>
      <c r="F102" s="134"/>
      <c r="G102" s="134"/>
      <c r="H102" s="134"/>
      <c r="I102" s="134"/>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205"/>
      <c r="FM102" s="205"/>
      <c r="FN102" s="205"/>
      <c r="FO102" s="205"/>
      <c r="FP102" s="205"/>
      <c r="FQ102" s="205"/>
      <c r="FR102" s="205"/>
      <c r="FS102" s="205"/>
      <c r="FT102" s="205"/>
      <c r="FU102" s="205"/>
      <c r="FV102" s="205"/>
      <c r="FW102" s="205"/>
      <c r="FX102" s="205"/>
      <c r="FY102" s="205"/>
      <c r="FZ102" s="205"/>
      <c r="GA102" s="205"/>
      <c r="GB102" s="205"/>
      <c r="GC102" s="205"/>
      <c r="GD102" s="205"/>
      <c r="GE102" s="205"/>
      <c r="GF102" s="205"/>
      <c r="GG102" s="205"/>
      <c r="GH102" s="205"/>
      <c r="GI102" s="205"/>
      <c r="GJ102" s="205"/>
      <c r="GK102" s="205"/>
      <c r="GL102" s="205"/>
      <c r="GM102" s="205"/>
      <c r="GN102" s="205"/>
      <c r="GO102" s="205"/>
      <c r="GP102" s="205"/>
      <c r="GQ102" s="205"/>
      <c r="GR102" s="205"/>
      <c r="GS102" s="205"/>
      <c r="GT102" s="205"/>
      <c r="GU102" s="205"/>
      <c r="GV102" s="205"/>
      <c r="GW102" s="205"/>
      <c r="GX102" s="205"/>
      <c r="GY102" s="205"/>
      <c r="GZ102" s="205"/>
      <c r="HA102" s="205"/>
      <c r="HB102" s="205"/>
      <c r="HC102" s="205"/>
      <c r="HD102" s="205"/>
      <c r="HE102" s="205"/>
      <c r="HF102" s="205"/>
      <c r="HG102" s="205"/>
      <c r="HH102" s="205"/>
      <c r="HI102" s="205"/>
      <c r="HJ102" s="205"/>
      <c r="HK102" s="205"/>
      <c r="HL102" s="205"/>
      <c r="HM102" s="205"/>
      <c r="HN102" s="205"/>
      <c r="HO102" s="205"/>
      <c r="HP102" s="205"/>
      <c r="HQ102" s="205"/>
      <c r="HR102" s="205"/>
      <c r="HS102" s="205"/>
      <c r="HT102" s="205"/>
      <c r="HU102" s="205"/>
      <c r="HV102" s="205"/>
      <c r="HW102" s="205"/>
      <c r="HX102" s="205"/>
      <c r="HY102" s="205"/>
      <c r="HZ102" s="205"/>
      <c r="IA102" s="205"/>
      <c r="IB102" s="205"/>
      <c r="IC102" s="205"/>
      <c r="ID102" s="205"/>
      <c r="IE102" s="205"/>
      <c r="IF102" s="205"/>
      <c r="IG102" s="205"/>
      <c r="IH102" s="205"/>
      <c r="II102" s="205"/>
      <c r="IJ102" s="205"/>
      <c r="IK102" s="205"/>
      <c r="IL102" s="205"/>
      <c r="IM102" s="205"/>
      <c r="IN102" s="205"/>
      <c r="IO102" s="205"/>
      <c r="IP102" s="205"/>
      <c r="IQ102" s="205"/>
      <c r="IR102" s="205"/>
      <c r="IS102" s="205"/>
      <c r="IT102" s="205"/>
      <c r="IU102" s="205"/>
      <c r="IV102" s="205"/>
    </row>
    <row r="103" spans="1:256" customFormat="1" ht="15.95" customHeight="1">
      <c r="A103" s="210" t="s">
        <v>1399</v>
      </c>
      <c r="B103" s="134">
        <f t="shared" si="31"/>
        <v>903</v>
      </c>
      <c r="C103" s="134">
        <v>13</v>
      </c>
      <c r="D103" s="134">
        <f t="shared" si="32"/>
        <v>890</v>
      </c>
      <c r="E103" s="134">
        <v>150</v>
      </c>
      <c r="F103" s="134"/>
      <c r="G103" s="134">
        <v>10</v>
      </c>
      <c r="H103" s="134">
        <v>40</v>
      </c>
      <c r="I103" s="134">
        <v>690</v>
      </c>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205"/>
      <c r="EZ103" s="205"/>
      <c r="FA103" s="205"/>
      <c r="FB103" s="205"/>
      <c r="FC103" s="205"/>
      <c r="FD103" s="205"/>
      <c r="FE103" s="205"/>
      <c r="FF103" s="205"/>
      <c r="FG103" s="205"/>
      <c r="FH103" s="205"/>
      <c r="FI103" s="205"/>
      <c r="FJ103" s="205"/>
      <c r="FK103" s="205"/>
      <c r="FL103" s="205"/>
      <c r="FM103" s="205"/>
      <c r="FN103" s="205"/>
      <c r="FO103" s="205"/>
      <c r="FP103" s="205"/>
      <c r="FQ103" s="205"/>
      <c r="FR103" s="205"/>
      <c r="FS103" s="205"/>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05"/>
      <c r="GQ103" s="205"/>
      <c r="GR103" s="205"/>
      <c r="GS103" s="205"/>
      <c r="GT103" s="205"/>
      <c r="GU103" s="205"/>
      <c r="GV103" s="205"/>
      <c r="GW103" s="205"/>
      <c r="GX103" s="205"/>
      <c r="GY103" s="205"/>
      <c r="GZ103" s="205"/>
      <c r="HA103" s="205"/>
      <c r="HB103" s="205"/>
      <c r="HC103" s="205"/>
      <c r="HD103" s="205"/>
      <c r="HE103" s="205"/>
      <c r="HF103" s="205"/>
      <c r="HG103" s="205"/>
      <c r="HH103" s="205"/>
      <c r="HI103" s="205"/>
      <c r="HJ103" s="205"/>
      <c r="HK103" s="205"/>
      <c r="HL103" s="205"/>
      <c r="HM103" s="205"/>
      <c r="HN103" s="205"/>
      <c r="HO103" s="205"/>
      <c r="HP103" s="205"/>
      <c r="HQ103" s="205"/>
      <c r="HR103" s="205"/>
      <c r="HS103" s="205"/>
      <c r="HT103" s="205"/>
      <c r="HU103" s="205"/>
      <c r="HV103" s="205"/>
      <c r="HW103" s="205"/>
      <c r="HX103" s="205"/>
      <c r="HY103" s="205"/>
      <c r="HZ103" s="205"/>
      <c r="IA103" s="205"/>
      <c r="IB103" s="205"/>
      <c r="IC103" s="205"/>
      <c r="ID103" s="205"/>
      <c r="IE103" s="205"/>
      <c r="IF103" s="205"/>
      <c r="IG103" s="205"/>
      <c r="IH103" s="205"/>
      <c r="II103" s="205"/>
      <c r="IJ103" s="205"/>
      <c r="IK103" s="205"/>
      <c r="IL103" s="205"/>
      <c r="IM103" s="205"/>
      <c r="IN103" s="205"/>
      <c r="IO103" s="205"/>
      <c r="IP103" s="205"/>
      <c r="IQ103" s="205"/>
      <c r="IR103" s="205"/>
      <c r="IS103" s="205"/>
      <c r="IT103" s="205"/>
      <c r="IU103" s="205"/>
      <c r="IV103" s="205"/>
    </row>
    <row r="104" spans="1:256" customFormat="1" ht="15.95" customHeight="1">
      <c r="A104" s="210" t="s">
        <v>1400</v>
      </c>
      <c r="B104" s="134">
        <f t="shared" si="31"/>
        <v>842</v>
      </c>
      <c r="C104" s="134"/>
      <c r="D104" s="134">
        <f t="shared" si="32"/>
        <v>842</v>
      </c>
      <c r="E104" s="134"/>
      <c r="F104" s="134"/>
      <c r="G104" s="134"/>
      <c r="H104" s="134">
        <v>542</v>
      </c>
      <c r="I104" s="134">
        <v>300</v>
      </c>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5"/>
      <c r="EA104" s="205"/>
      <c r="EB104" s="205"/>
      <c r="EC104" s="205"/>
      <c r="ED104" s="205"/>
      <c r="EE104" s="205"/>
      <c r="EF104" s="205"/>
      <c r="EG104" s="205"/>
      <c r="EH104" s="205"/>
      <c r="EI104" s="205"/>
      <c r="EJ104" s="205"/>
      <c r="EK104" s="205"/>
      <c r="EL104" s="205"/>
      <c r="EM104" s="205"/>
      <c r="EN104" s="205"/>
      <c r="EO104" s="205"/>
      <c r="EP104" s="205"/>
      <c r="EQ104" s="205"/>
      <c r="ER104" s="205"/>
      <c r="ES104" s="205"/>
      <c r="ET104" s="205"/>
      <c r="EU104" s="205"/>
      <c r="EV104" s="205"/>
      <c r="EW104" s="205"/>
      <c r="EX104" s="205"/>
      <c r="EY104" s="205"/>
      <c r="EZ104" s="205"/>
      <c r="FA104" s="205"/>
      <c r="FB104" s="205"/>
      <c r="FC104" s="205"/>
      <c r="FD104" s="205"/>
      <c r="FE104" s="205"/>
      <c r="FF104" s="205"/>
      <c r="FG104" s="205"/>
      <c r="FH104" s="205"/>
      <c r="FI104" s="205"/>
      <c r="FJ104" s="205"/>
      <c r="FK104" s="205"/>
      <c r="FL104" s="205"/>
      <c r="FM104" s="205"/>
      <c r="FN104" s="205"/>
      <c r="FO104" s="205"/>
      <c r="FP104" s="205"/>
      <c r="FQ104" s="205"/>
      <c r="FR104" s="205"/>
      <c r="FS104" s="205"/>
      <c r="FT104" s="205"/>
      <c r="FU104" s="205"/>
      <c r="FV104" s="205"/>
      <c r="FW104" s="205"/>
      <c r="FX104" s="205"/>
      <c r="FY104" s="205"/>
      <c r="FZ104" s="205"/>
      <c r="GA104" s="205"/>
      <c r="GB104" s="205"/>
      <c r="GC104" s="205"/>
      <c r="GD104" s="205"/>
      <c r="GE104" s="205"/>
      <c r="GF104" s="205"/>
      <c r="GG104" s="205"/>
      <c r="GH104" s="205"/>
      <c r="GI104" s="205"/>
      <c r="GJ104" s="205"/>
      <c r="GK104" s="205"/>
      <c r="GL104" s="205"/>
      <c r="GM104" s="205"/>
      <c r="GN104" s="205"/>
      <c r="GO104" s="205"/>
      <c r="GP104" s="205"/>
      <c r="GQ104" s="205"/>
      <c r="GR104" s="205"/>
      <c r="GS104" s="205"/>
      <c r="GT104" s="205"/>
      <c r="GU104" s="205"/>
      <c r="GV104" s="205"/>
      <c r="GW104" s="205"/>
      <c r="GX104" s="205"/>
      <c r="GY104" s="205"/>
      <c r="GZ104" s="205"/>
      <c r="HA104" s="205"/>
      <c r="HB104" s="205"/>
      <c r="HC104" s="205"/>
      <c r="HD104" s="205"/>
      <c r="HE104" s="205"/>
      <c r="HF104" s="205"/>
      <c r="HG104" s="205"/>
      <c r="HH104" s="205"/>
      <c r="HI104" s="205"/>
      <c r="HJ104" s="205"/>
      <c r="HK104" s="205"/>
      <c r="HL104" s="205"/>
      <c r="HM104" s="205"/>
      <c r="HN104" s="205"/>
      <c r="HO104" s="205"/>
      <c r="HP104" s="205"/>
      <c r="HQ104" s="205"/>
      <c r="HR104" s="205"/>
      <c r="HS104" s="205"/>
      <c r="HT104" s="205"/>
      <c r="HU104" s="205"/>
      <c r="HV104" s="205"/>
      <c r="HW104" s="205"/>
      <c r="HX104" s="205"/>
      <c r="HY104" s="205"/>
      <c r="HZ104" s="205"/>
      <c r="IA104" s="205"/>
      <c r="IB104" s="205"/>
      <c r="IC104" s="205"/>
      <c r="ID104" s="205"/>
      <c r="IE104" s="205"/>
      <c r="IF104" s="205"/>
      <c r="IG104" s="205"/>
      <c r="IH104" s="205"/>
      <c r="II104" s="205"/>
      <c r="IJ104" s="205"/>
      <c r="IK104" s="205"/>
      <c r="IL104" s="205"/>
      <c r="IM104" s="205"/>
      <c r="IN104" s="205"/>
      <c r="IO104" s="205"/>
      <c r="IP104" s="205"/>
      <c r="IQ104" s="205"/>
      <c r="IR104" s="205"/>
      <c r="IS104" s="205"/>
      <c r="IT104" s="205"/>
      <c r="IU104" s="205"/>
      <c r="IV104" s="205"/>
    </row>
    <row r="105" spans="1:256" customFormat="1" ht="15.95" customHeight="1">
      <c r="A105" s="209" t="s">
        <v>1401</v>
      </c>
      <c r="B105" s="134">
        <f t="shared" si="31"/>
        <v>1502</v>
      </c>
      <c r="C105" s="134">
        <f t="shared" ref="C105" si="35">SUM(C106:C108)</f>
        <v>177</v>
      </c>
      <c r="D105" s="134">
        <f t="shared" si="32"/>
        <v>1325</v>
      </c>
      <c r="E105" s="134">
        <f t="shared" ref="E105:I105" si="36">SUM(E106:E108)</f>
        <v>400</v>
      </c>
      <c r="F105" s="134">
        <f t="shared" si="36"/>
        <v>5</v>
      </c>
      <c r="G105" s="134">
        <f t="shared" si="36"/>
        <v>630</v>
      </c>
      <c r="H105" s="134">
        <f t="shared" si="36"/>
        <v>185</v>
      </c>
      <c r="I105" s="134">
        <f t="shared" si="36"/>
        <v>105</v>
      </c>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c r="EB105" s="205"/>
      <c r="EC105" s="205"/>
      <c r="ED105" s="205"/>
      <c r="EE105" s="205"/>
      <c r="EF105" s="205"/>
      <c r="EG105" s="205"/>
      <c r="EH105" s="205"/>
      <c r="EI105" s="205"/>
      <c r="EJ105" s="205"/>
      <c r="EK105" s="205"/>
      <c r="EL105" s="205"/>
      <c r="EM105" s="205"/>
      <c r="EN105" s="205"/>
      <c r="EO105" s="205"/>
      <c r="EP105" s="205"/>
      <c r="EQ105" s="205"/>
      <c r="ER105" s="205"/>
      <c r="ES105" s="205"/>
      <c r="ET105" s="205"/>
      <c r="EU105" s="205"/>
      <c r="EV105" s="205"/>
      <c r="EW105" s="205"/>
      <c r="EX105" s="205"/>
      <c r="EY105" s="205"/>
      <c r="EZ105" s="205"/>
      <c r="FA105" s="205"/>
      <c r="FB105" s="205"/>
      <c r="FC105" s="205"/>
      <c r="FD105" s="205"/>
      <c r="FE105" s="205"/>
      <c r="FF105" s="205"/>
      <c r="FG105" s="205"/>
      <c r="FH105" s="205"/>
      <c r="FI105" s="205"/>
      <c r="FJ105" s="205"/>
      <c r="FK105" s="205"/>
      <c r="FL105" s="205"/>
      <c r="FM105" s="205"/>
      <c r="FN105" s="205"/>
      <c r="FO105" s="205"/>
      <c r="FP105" s="205"/>
      <c r="FQ105" s="205"/>
      <c r="FR105" s="205"/>
      <c r="FS105" s="205"/>
      <c r="FT105" s="205"/>
      <c r="FU105" s="205"/>
      <c r="FV105" s="205"/>
      <c r="FW105" s="205"/>
      <c r="FX105" s="205"/>
      <c r="FY105" s="205"/>
      <c r="FZ105" s="205"/>
      <c r="GA105" s="205"/>
      <c r="GB105" s="205"/>
      <c r="GC105" s="205"/>
      <c r="GD105" s="205"/>
      <c r="GE105" s="205"/>
      <c r="GF105" s="205"/>
      <c r="GG105" s="205"/>
      <c r="GH105" s="205"/>
      <c r="GI105" s="205"/>
      <c r="GJ105" s="205"/>
      <c r="GK105" s="205"/>
      <c r="GL105" s="205"/>
      <c r="GM105" s="205"/>
      <c r="GN105" s="205"/>
      <c r="GO105" s="205"/>
      <c r="GP105" s="205"/>
      <c r="GQ105" s="205"/>
      <c r="GR105" s="205"/>
      <c r="GS105" s="205"/>
      <c r="GT105" s="205"/>
      <c r="GU105" s="205"/>
      <c r="GV105" s="205"/>
      <c r="GW105" s="205"/>
      <c r="GX105" s="205"/>
      <c r="GY105" s="205"/>
      <c r="GZ105" s="205"/>
      <c r="HA105" s="205"/>
      <c r="HB105" s="205"/>
      <c r="HC105" s="205"/>
      <c r="HD105" s="205"/>
      <c r="HE105" s="205"/>
      <c r="HF105" s="205"/>
      <c r="HG105" s="205"/>
      <c r="HH105" s="205"/>
      <c r="HI105" s="205"/>
      <c r="HJ105" s="205"/>
      <c r="HK105" s="205"/>
      <c r="HL105" s="205"/>
      <c r="HM105" s="205"/>
      <c r="HN105" s="205"/>
      <c r="HO105" s="205"/>
      <c r="HP105" s="205"/>
      <c r="HQ105" s="205"/>
      <c r="HR105" s="205"/>
      <c r="HS105" s="205"/>
      <c r="HT105" s="205"/>
      <c r="HU105" s="205"/>
      <c r="HV105" s="205"/>
      <c r="HW105" s="205"/>
      <c r="HX105" s="205"/>
      <c r="HY105" s="205"/>
      <c r="HZ105" s="205"/>
      <c r="IA105" s="205"/>
      <c r="IB105" s="205"/>
      <c r="IC105" s="205"/>
      <c r="ID105" s="205"/>
      <c r="IE105" s="205"/>
      <c r="IF105" s="205"/>
      <c r="IG105" s="205"/>
      <c r="IH105" s="205"/>
      <c r="II105" s="205"/>
      <c r="IJ105" s="205"/>
      <c r="IK105" s="205"/>
      <c r="IL105" s="205"/>
      <c r="IM105" s="205"/>
      <c r="IN105" s="205"/>
      <c r="IO105" s="205"/>
      <c r="IP105" s="205"/>
      <c r="IQ105" s="205"/>
      <c r="IR105" s="205"/>
      <c r="IS105" s="205"/>
      <c r="IT105" s="205"/>
      <c r="IU105" s="205"/>
      <c r="IV105" s="205"/>
    </row>
    <row r="106" spans="1:256" customFormat="1" ht="15.95" customHeight="1">
      <c r="A106" s="210" t="s">
        <v>1402</v>
      </c>
      <c r="B106" s="134">
        <f t="shared" si="31"/>
        <v>1355</v>
      </c>
      <c r="C106" s="134">
        <v>30</v>
      </c>
      <c r="D106" s="134">
        <f t="shared" si="32"/>
        <v>1325</v>
      </c>
      <c r="E106" s="134">
        <v>400</v>
      </c>
      <c r="F106" s="134">
        <v>5</v>
      </c>
      <c r="G106" s="134">
        <v>630</v>
      </c>
      <c r="H106" s="134">
        <v>185</v>
      </c>
      <c r="I106" s="134">
        <v>105</v>
      </c>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c r="EB106" s="205"/>
      <c r="EC106" s="205"/>
      <c r="ED106" s="205"/>
      <c r="EE106" s="205"/>
      <c r="EF106" s="205"/>
      <c r="EG106" s="205"/>
      <c r="EH106" s="205"/>
      <c r="EI106" s="205"/>
      <c r="EJ106" s="205"/>
      <c r="EK106" s="205"/>
      <c r="EL106" s="205"/>
      <c r="EM106" s="205"/>
      <c r="EN106" s="205"/>
      <c r="EO106" s="205"/>
      <c r="EP106" s="205"/>
      <c r="EQ106" s="205"/>
      <c r="ER106" s="205"/>
      <c r="ES106" s="205"/>
      <c r="ET106" s="205"/>
      <c r="EU106" s="205"/>
      <c r="EV106" s="205"/>
      <c r="EW106" s="205"/>
      <c r="EX106" s="205"/>
      <c r="EY106" s="205"/>
      <c r="EZ106" s="205"/>
      <c r="FA106" s="205"/>
      <c r="FB106" s="205"/>
      <c r="FC106" s="205"/>
      <c r="FD106" s="205"/>
      <c r="FE106" s="205"/>
      <c r="FF106" s="205"/>
      <c r="FG106" s="205"/>
      <c r="FH106" s="205"/>
      <c r="FI106" s="205"/>
      <c r="FJ106" s="205"/>
      <c r="FK106" s="205"/>
      <c r="FL106" s="205"/>
      <c r="FM106" s="205"/>
      <c r="FN106" s="205"/>
      <c r="FO106" s="205"/>
      <c r="FP106" s="205"/>
      <c r="FQ106" s="205"/>
      <c r="FR106" s="205"/>
      <c r="FS106" s="205"/>
      <c r="FT106" s="205"/>
      <c r="FU106" s="205"/>
      <c r="FV106" s="205"/>
      <c r="FW106" s="205"/>
      <c r="FX106" s="205"/>
      <c r="FY106" s="205"/>
      <c r="FZ106" s="205"/>
      <c r="GA106" s="205"/>
      <c r="GB106" s="205"/>
      <c r="GC106" s="205"/>
      <c r="GD106" s="205"/>
      <c r="GE106" s="205"/>
      <c r="GF106" s="205"/>
      <c r="GG106" s="205"/>
      <c r="GH106" s="205"/>
      <c r="GI106" s="205"/>
      <c r="GJ106" s="205"/>
      <c r="GK106" s="205"/>
      <c r="GL106" s="205"/>
      <c r="GM106" s="205"/>
      <c r="GN106" s="205"/>
      <c r="GO106" s="205"/>
      <c r="GP106" s="205"/>
      <c r="GQ106" s="205"/>
      <c r="GR106" s="205"/>
      <c r="GS106" s="205"/>
      <c r="GT106" s="205"/>
      <c r="GU106" s="205"/>
      <c r="GV106" s="205"/>
      <c r="GW106" s="205"/>
      <c r="GX106" s="205"/>
      <c r="GY106" s="205"/>
      <c r="GZ106" s="205"/>
      <c r="HA106" s="205"/>
      <c r="HB106" s="205"/>
      <c r="HC106" s="205"/>
      <c r="HD106" s="205"/>
      <c r="HE106" s="205"/>
      <c r="HF106" s="205"/>
      <c r="HG106" s="205"/>
      <c r="HH106" s="205"/>
      <c r="HI106" s="205"/>
      <c r="HJ106" s="205"/>
      <c r="HK106" s="205"/>
      <c r="HL106" s="205"/>
      <c r="HM106" s="205"/>
      <c r="HN106" s="205"/>
      <c r="HO106" s="205"/>
      <c r="HP106" s="205"/>
      <c r="HQ106" s="205"/>
      <c r="HR106" s="205"/>
      <c r="HS106" s="205"/>
      <c r="HT106" s="205"/>
      <c r="HU106" s="205"/>
      <c r="HV106" s="205"/>
      <c r="HW106" s="205"/>
      <c r="HX106" s="205"/>
      <c r="HY106" s="205"/>
      <c r="HZ106" s="205"/>
      <c r="IA106" s="205"/>
      <c r="IB106" s="205"/>
      <c r="IC106" s="205"/>
      <c r="ID106" s="205"/>
      <c r="IE106" s="205"/>
      <c r="IF106" s="205"/>
      <c r="IG106" s="205"/>
      <c r="IH106" s="205"/>
      <c r="II106" s="205"/>
      <c r="IJ106" s="205"/>
      <c r="IK106" s="205"/>
      <c r="IL106" s="205"/>
      <c r="IM106" s="205"/>
      <c r="IN106" s="205"/>
      <c r="IO106" s="205"/>
      <c r="IP106" s="205"/>
      <c r="IQ106" s="205"/>
      <c r="IR106" s="205"/>
      <c r="IS106" s="205"/>
      <c r="IT106" s="205"/>
      <c r="IU106" s="205"/>
      <c r="IV106" s="205"/>
    </row>
    <row r="107" spans="1:256" customFormat="1" ht="15.95" customHeight="1">
      <c r="A107" s="210" t="s">
        <v>1403</v>
      </c>
      <c r="B107" s="134">
        <f t="shared" si="31"/>
        <v>147</v>
      </c>
      <c r="C107" s="134">
        <v>147</v>
      </c>
      <c r="D107" s="134">
        <f t="shared" si="32"/>
        <v>0</v>
      </c>
      <c r="E107" s="134"/>
      <c r="F107" s="134"/>
      <c r="G107" s="134"/>
      <c r="H107" s="134"/>
      <c r="I107" s="134"/>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c r="EA107" s="205"/>
      <c r="EB107" s="205"/>
      <c r="EC107" s="205"/>
      <c r="ED107" s="205"/>
      <c r="EE107" s="205"/>
      <c r="EF107" s="205"/>
      <c r="EG107" s="205"/>
      <c r="EH107" s="205"/>
      <c r="EI107" s="205"/>
      <c r="EJ107" s="205"/>
      <c r="EK107" s="205"/>
      <c r="EL107" s="205"/>
      <c r="EM107" s="205"/>
      <c r="EN107" s="205"/>
      <c r="EO107" s="205"/>
      <c r="EP107" s="205"/>
      <c r="EQ107" s="205"/>
      <c r="ER107" s="205"/>
      <c r="ES107" s="205"/>
      <c r="ET107" s="205"/>
      <c r="EU107" s="205"/>
      <c r="EV107" s="205"/>
      <c r="EW107" s="205"/>
      <c r="EX107" s="205"/>
      <c r="EY107" s="205"/>
      <c r="EZ107" s="205"/>
      <c r="FA107" s="205"/>
      <c r="FB107" s="205"/>
      <c r="FC107" s="205"/>
      <c r="FD107" s="205"/>
      <c r="FE107" s="205"/>
      <c r="FF107" s="205"/>
      <c r="FG107" s="205"/>
      <c r="FH107" s="205"/>
      <c r="FI107" s="205"/>
      <c r="FJ107" s="205"/>
      <c r="FK107" s="205"/>
      <c r="FL107" s="205"/>
      <c r="FM107" s="205"/>
      <c r="FN107" s="205"/>
      <c r="FO107" s="205"/>
      <c r="FP107" s="205"/>
      <c r="FQ107" s="205"/>
      <c r="FR107" s="205"/>
      <c r="FS107" s="205"/>
      <c r="FT107" s="205"/>
      <c r="FU107" s="205"/>
      <c r="FV107" s="205"/>
      <c r="FW107" s="205"/>
      <c r="FX107" s="205"/>
      <c r="FY107" s="205"/>
      <c r="FZ107" s="205"/>
      <c r="GA107" s="205"/>
      <c r="GB107" s="205"/>
      <c r="GC107" s="205"/>
      <c r="GD107" s="205"/>
      <c r="GE107" s="205"/>
      <c r="GF107" s="205"/>
      <c r="GG107" s="205"/>
      <c r="GH107" s="205"/>
      <c r="GI107" s="205"/>
      <c r="GJ107" s="205"/>
      <c r="GK107" s="205"/>
      <c r="GL107" s="205"/>
      <c r="GM107" s="205"/>
      <c r="GN107" s="205"/>
      <c r="GO107" s="205"/>
      <c r="GP107" s="205"/>
      <c r="GQ107" s="205"/>
      <c r="GR107" s="205"/>
      <c r="GS107" s="205"/>
      <c r="GT107" s="205"/>
      <c r="GU107" s="205"/>
      <c r="GV107" s="205"/>
      <c r="GW107" s="205"/>
      <c r="GX107" s="205"/>
      <c r="GY107" s="205"/>
      <c r="GZ107" s="205"/>
      <c r="HA107" s="205"/>
      <c r="HB107" s="205"/>
      <c r="HC107" s="205"/>
      <c r="HD107" s="205"/>
      <c r="HE107" s="205"/>
      <c r="HF107" s="205"/>
      <c r="HG107" s="205"/>
      <c r="HH107" s="205"/>
      <c r="HI107" s="205"/>
      <c r="HJ107" s="205"/>
      <c r="HK107" s="205"/>
      <c r="HL107" s="205"/>
      <c r="HM107" s="205"/>
      <c r="HN107" s="205"/>
      <c r="HO107" s="205"/>
      <c r="HP107" s="205"/>
      <c r="HQ107" s="205"/>
      <c r="HR107" s="205"/>
      <c r="HS107" s="205"/>
      <c r="HT107" s="205"/>
      <c r="HU107" s="205"/>
      <c r="HV107" s="205"/>
      <c r="HW107" s="205"/>
      <c r="HX107" s="205"/>
      <c r="HY107" s="205"/>
      <c r="HZ107" s="205"/>
      <c r="IA107" s="205"/>
      <c r="IB107" s="205"/>
      <c r="IC107" s="205"/>
      <c r="ID107" s="205"/>
      <c r="IE107" s="205"/>
      <c r="IF107" s="205"/>
      <c r="IG107" s="205"/>
      <c r="IH107" s="205"/>
      <c r="II107" s="205"/>
      <c r="IJ107" s="205"/>
      <c r="IK107" s="205"/>
      <c r="IL107" s="205"/>
      <c r="IM107" s="205"/>
      <c r="IN107" s="205"/>
      <c r="IO107" s="205"/>
      <c r="IP107" s="205"/>
      <c r="IQ107" s="205"/>
      <c r="IR107" s="205"/>
      <c r="IS107" s="205"/>
      <c r="IT107" s="205"/>
      <c r="IU107" s="205"/>
      <c r="IV107" s="205"/>
    </row>
    <row r="108" spans="1:256" customFormat="1" ht="15.95" hidden="1" customHeight="1">
      <c r="A108" s="210" t="s">
        <v>1404</v>
      </c>
      <c r="B108" s="134">
        <f t="shared" si="31"/>
        <v>0</v>
      </c>
      <c r="C108" s="134"/>
      <c r="D108" s="134">
        <f t="shared" si="32"/>
        <v>0</v>
      </c>
      <c r="E108" s="134"/>
      <c r="F108" s="134"/>
      <c r="G108" s="134"/>
      <c r="H108" s="134"/>
      <c r="I108" s="134"/>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c r="BY108" s="205"/>
      <c r="BZ108" s="205"/>
      <c r="CA108" s="205"/>
      <c r="CB108" s="205"/>
      <c r="CC108" s="205"/>
      <c r="CD108" s="205"/>
      <c r="CE108" s="205"/>
      <c r="CF108" s="205"/>
      <c r="CG108" s="205"/>
      <c r="CH108" s="205"/>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5"/>
      <c r="DF108" s="205"/>
      <c r="DG108" s="205"/>
      <c r="DH108" s="205"/>
      <c r="DI108" s="205"/>
      <c r="DJ108" s="205"/>
      <c r="DK108" s="205"/>
      <c r="DL108" s="205"/>
      <c r="DM108" s="205"/>
      <c r="DN108" s="205"/>
      <c r="DO108" s="205"/>
      <c r="DP108" s="205"/>
      <c r="DQ108" s="205"/>
      <c r="DR108" s="205"/>
      <c r="DS108" s="205"/>
      <c r="DT108" s="205"/>
      <c r="DU108" s="205"/>
      <c r="DV108" s="205"/>
      <c r="DW108" s="205"/>
      <c r="DX108" s="205"/>
      <c r="DY108" s="205"/>
      <c r="DZ108" s="205"/>
      <c r="EA108" s="205"/>
      <c r="EB108" s="205"/>
      <c r="EC108" s="205"/>
      <c r="ED108" s="205"/>
      <c r="EE108" s="205"/>
      <c r="EF108" s="205"/>
      <c r="EG108" s="205"/>
      <c r="EH108" s="205"/>
      <c r="EI108" s="205"/>
      <c r="EJ108" s="205"/>
      <c r="EK108" s="205"/>
      <c r="EL108" s="205"/>
      <c r="EM108" s="205"/>
      <c r="EN108" s="205"/>
      <c r="EO108" s="205"/>
      <c r="EP108" s="205"/>
      <c r="EQ108" s="205"/>
      <c r="ER108" s="205"/>
      <c r="ES108" s="205"/>
      <c r="ET108" s="205"/>
      <c r="EU108" s="205"/>
      <c r="EV108" s="205"/>
      <c r="EW108" s="205"/>
      <c r="EX108" s="205"/>
      <c r="EY108" s="205"/>
      <c r="EZ108" s="205"/>
      <c r="FA108" s="205"/>
      <c r="FB108" s="205"/>
      <c r="FC108" s="205"/>
      <c r="FD108" s="205"/>
      <c r="FE108" s="205"/>
      <c r="FF108" s="205"/>
      <c r="FG108" s="205"/>
      <c r="FH108" s="205"/>
      <c r="FI108" s="205"/>
      <c r="FJ108" s="205"/>
      <c r="FK108" s="205"/>
      <c r="FL108" s="205"/>
      <c r="FM108" s="205"/>
      <c r="FN108" s="205"/>
      <c r="FO108" s="205"/>
      <c r="FP108" s="205"/>
      <c r="FQ108" s="205"/>
      <c r="FR108" s="205"/>
      <c r="FS108" s="205"/>
      <c r="FT108" s="205"/>
      <c r="FU108" s="205"/>
      <c r="FV108" s="205"/>
      <c r="FW108" s="205"/>
      <c r="FX108" s="205"/>
      <c r="FY108" s="205"/>
      <c r="FZ108" s="205"/>
      <c r="GA108" s="205"/>
      <c r="GB108" s="205"/>
      <c r="GC108" s="205"/>
      <c r="GD108" s="205"/>
      <c r="GE108" s="205"/>
      <c r="GF108" s="205"/>
      <c r="GG108" s="205"/>
      <c r="GH108" s="205"/>
      <c r="GI108" s="205"/>
      <c r="GJ108" s="205"/>
      <c r="GK108" s="205"/>
      <c r="GL108" s="205"/>
      <c r="GM108" s="205"/>
      <c r="GN108" s="205"/>
      <c r="GO108" s="205"/>
      <c r="GP108" s="205"/>
      <c r="GQ108" s="205"/>
      <c r="GR108" s="205"/>
      <c r="GS108" s="205"/>
      <c r="GT108" s="205"/>
      <c r="GU108" s="205"/>
      <c r="GV108" s="205"/>
      <c r="GW108" s="205"/>
      <c r="GX108" s="205"/>
      <c r="GY108" s="205"/>
      <c r="GZ108" s="205"/>
      <c r="HA108" s="205"/>
      <c r="HB108" s="205"/>
      <c r="HC108" s="205"/>
      <c r="HD108" s="205"/>
      <c r="HE108" s="205"/>
      <c r="HF108" s="205"/>
      <c r="HG108" s="205"/>
      <c r="HH108" s="205"/>
      <c r="HI108" s="205"/>
      <c r="HJ108" s="205"/>
      <c r="HK108" s="205"/>
      <c r="HL108" s="205"/>
      <c r="HM108" s="205"/>
      <c r="HN108" s="205"/>
      <c r="HO108" s="205"/>
      <c r="HP108" s="205"/>
      <c r="HQ108" s="205"/>
      <c r="HR108" s="205"/>
      <c r="HS108" s="205"/>
      <c r="HT108" s="205"/>
      <c r="HU108" s="205"/>
      <c r="HV108" s="205"/>
      <c r="HW108" s="205"/>
      <c r="HX108" s="205"/>
      <c r="HY108" s="205"/>
      <c r="HZ108" s="205"/>
      <c r="IA108" s="205"/>
      <c r="IB108" s="205"/>
      <c r="IC108" s="205"/>
      <c r="ID108" s="205"/>
      <c r="IE108" s="205"/>
      <c r="IF108" s="205"/>
      <c r="IG108" s="205"/>
      <c r="IH108" s="205"/>
      <c r="II108" s="205"/>
      <c r="IJ108" s="205"/>
      <c r="IK108" s="205"/>
      <c r="IL108" s="205"/>
      <c r="IM108" s="205"/>
      <c r="IN108" s="205"/>
      <c r="IO108" s="205"/>
      <c r="IP108" s="205"/>
      <c r="IQ108" s="205"/>
      <c r="IR108" s="205"/>
      <c r="IS108" s="205"/>
      <c r="IT108" s="205"/>
      <c r="IU108" s="205"/>
      <c r="IV108" s="205"/>
    </row>
    <row r="109" spans="1:256" customFormat="1" ht="15.95" customHeight="1">
      <c r="A109" s="209" t="s">
        <v>1405</v>
      </c>
      <c r="B109" s="134">
        <f t="shared" si="31"/>
        <v>60</v>
      </c>
      <c r="C109" s="134">
        <f t="shared" ref="C109" si="37">SUM(C110:C111)</f>
        <v>60</v>
      </c>
      <c r="D109" s="134">
        <f t="shared" si="32"/>
        <v>0</v>
      </c>
      <c r="E109" s="134">
        <f t="shared" ref="E109:I109" si="38">SUM(E110:E111)</f>
        <v>0</v>
      </c>
      <c r="F109" s="134">
        <f t="shared" si="38"/>
        <v>0</v>
      </c>
      <c r="G109" s="134">
        <f t="shared" si="38"/>
        <v>0</v>
      </c>
      <c r="H109" s="134">
        <f t="shared" si="38"/>
        <v>0</v>
      </c>
      <c r="I109" s="134">
        <f t="shared" si="38"/>
        <v>0</v>
      </c>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05"/>
      <c r="DK109" s="205"/>
      <c r="DL109" s="205"/>
      <c r="DM109" s="205"/>
      <c r="DN109" s="205"/>
      <c r="DO109" s="205"/>
      <c r="DP109" s="205"/>
      <c r="DQ109" s="205"/>
      <c r="DR109" s="205"/>
      <c r="DS109" s="205"/>
      <c r="DT109" s="205"/>
      <c r="DU109" s="205"/>
      <c r="DV109" s="205"/>
      <c r="DW109" s="205"/>
      <c r="DX109" s="205"/>
      <c r="DY109" s="205"/>
      <c r="DZ109" s="205"/>
      <c r="EA109" s="205"/>
      <c r="EB109" s="205"/>
      <c r="EC109" s="205"/>
      <c r="ED109" s="205"/>
      <c r="EE109" s="205"/>
      <c r="EF109" s="205"/>
      <c r="EG109" s="205"/>
      <c r="EH109" s="205"/>
      <c r="EI109" s="205"/>
      <c r="EJ109" s="205"/>
      <c r="EK109" s="205"/>
      <c r="EL109" s="205"/>
      <c r="EM109" s="205"/>
      <c r="EN109" s="205"/>
      <c r="EO109" s="205"/>
      <c r="EP109" s="205"/>
      <c r="EQ109" s="205"/>
      <c r="ER109" s="205"/>
      <c r="ES109" s="205"/>
      <c r="ET109" s="205"/>
      <c r="EU109" s="205"/>
      <c r="EV109" s="205"/>
      <c r="EW109" s="205"/>
      <c r="EX109" s="205"/>
      <c r="EY109" s="205"/>
      <c r="EZ109" s="205"/>
      <c r="FA109" s="205"/>
      <c r="FB109" s="205"/>
      <c r="FC109" s="205"/>
      <c r="FD109" s="205"/>
      <c r="FE109" s="205"/>
      <c r="FF109" s="205"/>
      <c r="FG109" s="205"/>
      <c r="FH109" s="205"/>
      <c r="FI109" s="205"/>
      <c r="FJ109" s="205"/>
      <c r="FK109" s="205"/>
      <c r="FL109" s="205"/>
      <c r="FM109" s="205"/>
      <c r="FN109" s="205"/>
      <c r="FO109" s="205"/>
      <c r="FP109" s="205"/>
      <c r="FQ109" s="205"/>
      <c r="FR109" s="205"/>
      <c r="FS109" s="205"/>
      <c r="FT109" s="205"/>
      <c r="FU109" s="205"/>
      <c r="FV109" s="205"/>
      <c r="FW109" s="205"/>
      <c r="FX109" s="205"/>
      <c r="FY109" s="205"/>
      <c r="FZ109" s="205"/>
      <c r="GA109" s="205"/>
      <c r="GB109" s="205"/>
      <c r="GC109" s="205"/>
      <c r="GD109" s="205"/>
      <c r="GE109" s="205"/>
      <c r="GF109" s="205"/>
      <c r="GG109" s="205"/>
      <c r="GH109" s="205"/>
      <c r="GI109" s="205"/>
      <c r="GJ109" s="205"/>
      <c r="GK109" s="205"/>
      <c r="GL109" s="205"/>
      <c r="GM109" s="205"/>
      <c r="GN109" s="205"/>
      <c r="GO109" s="205"/>
      <c r="GP109" s="205"/>
      <c r="GQ109" s="205"/>
      <c r="GR109" s="205"/>
      <c r="GS109" s="205"/>
      <c r="GT109" s="205"/>
      <c r="GU109" s="205"/>
      <c r="GV109" s="205"/>
      <c r="GW109" s="205"/>
      <c r="GX109" s="205"/>
      <c r="GY109" s="205"/>
      <c r="GZ109" s="205"/>
      <c r="HA109" s="205"/>
      <c r="HB109" s="205"/>
      <c r="HC109" s="205"/>
      <c r="HD109" s="205"/>
      <c r="HE109" s="205"/>
      <c r="HF109" s="205"/>
      <c r="HG109" s="205"/>
      <c r="HH109" s="205"/>
      <c r="HI109" s="205"/>
      <c r="HJ109" s="205"/>
      <c r="HK109" s="205"/>
      <c r="HL109" s="205"/>
      <c r="HM109" s="205"/>
      <c r="HN109" s="205"/>
      <c r="HO109" s="205"/>
      <c r="HP109" s="205"/>
      <c r="HQ109" s="205"/>
      <c r="HR109" s="205"/>
      <c r="HS109" s="205"/>
      <c r="HT109" s="205"/>
      <c r="HU109" s="205"/>
      <c r="HV109" s="205"/>
      <c r="HW109" s="205"/>
      <c r="HX109" s="205"/>
      <c r="HY109" s="205"/>
      <c r="HZ109" s="205"/>
      <c r="IA109" s="205"/>
      <c r="IB109" s="205"/>
      <c r="IC109" s="205"/>
      <c r="ID109" s="205"/>
      <c r="IE109" s="205"/>
      <c r="IF109" s="205"/>
      <c r="IG109" s="205"/>
      <c r="IH109" s="205"/>
      <c r="II109" s="205"/>
      <c r="IJ109" s="205"/>
      <c r="IK109" s="205"/>
      <c r="IL109" s="205"/>
      <c r="IM109" s="205"/>
      <c r="IN109" s="205"/>
      <c r="IO109" s="205"/>
      <c r="IP109" s="205"/>
      <c r="IQ109" s="205"/>
      <c r="IR109" s="205"/>
      <c r="IS109" s="205"/>
      <c r="IT109" s="205"/>
      <c r="IU109" s="205"/>
      <c r="IV109" s="205"/>
    </row>
    <row r="110" spans="1:256" customFormat="1" ht="15.95" customHeight="1">
      <c r="A110" s="210" t="s">
        <v>1406</v>
      </c>
      <c r="B110" s="134">
        <f t="shared" si="31"/>
        <v>60</v>
      </c>
      <c r="C110" s="134">
        <v>60</v>
      </c>
      <c r="D110" s="134">
        <f t="shared" si="32"/>
        <v>0</v>
      </c>
      <c r="E110" s="134"/>
      <c r="F110" s="134"/>
      <c r="G110" s="134"/>
      <c r="H110" s="134"/>
      <c r="I110" s="134"/>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05"/>
      <c r="DI110" s="205"/>
      <c r="DJ110" s="205"/>
      <c r="DK110" s="205"/>
      <c r="DL110" s="205"/>
      <c r="DM110" s="205"/>
      <c r="DN110" s="205"/>
      <c r="DO110" s="205"/>
      <c r="DP110" s="205"/>
      <c r="DQ110" s="205"/>
      <c r="DR110" s="205"/>
      <c r="DS110" s="205"/>
      <c r="DT110" s="205"/>
      <c r="DU110" s="205"/>
      <c r="DV110" s="205"/>
      <c r="DW110" s="205"/>
      <c r="DX110" s="205"/>
      <c r="DY110" s="205"/>
      <c r="DZ110" s="205"/>
      <c r="EA110" s="205"/>
      <c r="EB110" s="205"/>
      <c r="EC110" s="205"/>
      <c r="ED110" s="205"/>
      <c r="EE110" s="205"/>
      <c r="EF110" s="205"/>
      <c r="EG110" s="205"/>
      <c r="EH110" s="205"/>
      <c r="EI110" s="205"/>
      <c r="EJ110" s="205"/>
      <c r="EK110" s="205"/>
      <c r="EL110" s="205"/>
      <c r="EM110" s="205"/>
      <c r="EN110" s="205"/>
      <c r="EO110" s="205"/>
      <c r="EP110" s="205"/>
      <c r="EQ110" s="205"/>
      <c r="ER110" s="205"/>
      <c r="ES110" s="205"/>
      <c r="ET110" s="205"/>
      <c r="EU110" s="205"/>
      <c r="EV110" s="205"/>
      <c r="EW110" s="205"/>
      <c r="EX110" s="205"/>
      <c r="EY110" s="205"/>
      <c r="EZ110" s="205"/>
      <c r="FA110" s="205"/>
      <c r="FB110" s="205"/>
      <c r="FC110" s="205"/>
      <c r="FD110" s="205"/>
      <c r="FE110" s="205"/>
      <c r="FF110" s="205"/>
      <c r="FG110" s="205"/>
      <c r="FH110" s="205"/>
      <c r="FI110" s="205"/>
      <c r="FJ110" s="205"/>
      <c r="FK110" s="205"/>
      <c r="FL110" s="205"/>
      <c r="FM110" s="205"/>
      <c r="FN110" s="205"/>
      <c r="FO110" s="205"/>
      <c r="FP110" s="205"/>
      <c r="FQ110" s="205"/>
      <c r="FR110" s="205"/>
      <c r="FS110" s="205"/>
      <c r="FT110" s="205"/>
      <c r="FU110" s="205"/>
      <c r="FV110" s="205"/>
      <c r="FW110" s="205"/>
      <c r="FX110" s="205"/>
      <c r="FY110" s="205"/>
      <c r="FZ110" s="205"/>
      <c r="GA110" s="205"/>
      <c r="GB110" s="205"/>
      <c r="GC110" s="205"/>
      <c r="GD110" s="205"/>
      <c r="GE110" s="205"/>
      <c r="GF110" s="205"/>
      <c r="GG110" s="205"/>
      <c r="GH110" s="205"/>
      <c r="GI110" s="205"/>
      <c r="GJ110" s="205"/>
      <c r="GK110" s="205"/>
      <c r="GL110" s="205"/>
      <c r="GM110" s="205"/>
      <c r="GN110" s="205"/>
      <c r="GO110" s="205"/>
      <c r="GP110" s="205"/>
      <c r="GQ110" s="205"/>
      <c r="GR110" s="205"/>
      <c r="GS110" s="205"/>
      <c r="GT110" s="205"/>
      <c r="GU110" s="205"/>
      <c r="GV110" s="205"/>
      <c r="GW110" s="205"/>
      <c r="GX110" s="205"/>
      <c r="GY110" s="205"/>
      <c r="GZ110" s="205"/>
      <c r="HA110" s="205"/>
      <c r="HB110" s="205"/>
      <c r="HC110" s="205"/>
      <c r="HD110" s="205"/>
      <c r="HE110" s="205"/>
      <c r="HF110" s="205"/>
      <c r="HG110" s="205"/>
      <c r="HH110" s="205"/>
      <c r="HI110" s="205"/>
      <c r="HJ110" s="205"/>
      <c r="HK110" s="205"/>
      <c r="HL110" s="205"/>
      <c r="HM110" s="205"/>
      <c r="HN110" s="205"/>
      <c r="HO110" s="205"/>
      <c r="HP110" s="205"/>
      <c r="HQ110" s="205"/>
      <c r="HR110" s="205"/>
      <c r="HS110" s="205"/>
      <c r="HT110" s="205"/>
      <c r="HU110" s="205"/>
      <c r="HV110" s="205"/>
      <c r="HW110" s="205"/>
      <c r="HX110" s="205"/>
      <c r="HY110" s="205"/>
      <c r="HZ110" s="205"/>
      <c r="IA110" s="205"/>
      <c r="IB110" s="205"/>
      <c r="IC110" s="205"/>
      <c r="ID110" s="205"/>
      <c r="IE110" s="205"/>
      <c r="IF110" s="205"/>
      <c r="IG110" s="205"/>
      <c r="IH110" s="205"/>
      <c r="II110" s="205"/>
      <c r="IJ110" s="205"/>
      <c r="IK110" s="205"/>
      <c r="IL110" s="205"/>
      <c r="IM110" s="205"/>
      <c r="IN110" s="205"/>
      <c r="IO110" s="205"/>
      <c r="IP110" s="205"/>
      <c r="IQ110" s="205"/>
      <c r="IR110" s="205"/>
      <c r="IS110" s="205"/>
      <c r="IT110" s="205"/>
      <c r="IU110" s="205"/>
      <c r="IV110" s="205"/>
    </row>
    <row r="111" spans="1:256" customFormat="1" ht="15.95" hidden="1" customHeight="1">
      <c r="A111" s="210" t="s">
        <v>1407</v>
      </c>
      <c r="B111" s="134">
        <f t="shared" si="31"/>
        <v>0</v>
      </c>
      <c r="C111" s="134"/>
      <c r="D111" s="134">
        <f t="shared" si="32"/>
        <v>0</v>
      </c>
      <c r="E111" s="134"/>
      <c r="F111" s="134"/>
      <c r="G111" s="134"/>
      <c r="H111" s="134"/>
      <c r="I111" s="134"/>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05"/>
      <c r="DK111" s="205"/>
      <c r="DL111" s="205"/>
      <c r="DM111" s="205"/>
      <c r="DN111" s="205"/>
      <c r="DO111" s="205"/>
      <c r="DP111" s="205"/>
      <c r="DQ111" s="205"/>
      <c r="DR111" s="205"/>
      <c r="DS111" s="205"/>
      <c r="DT111" s="205"/>
      <c r="DU111" s="205"/>
      <c r="DV111" s="205"/>
      <c r="DW111" s="205"/>
      <c r="DX111" s="205"/>
      <c r="DY111" s="205"/>
      <c r="DZ111" s="205"/>
      <c r="EA111" s="205"/>
      <c r="EB111" s="205"/>
      <c r="EC111" s="205"/>
      <c r="ED111" s="205"/>
      <c r="EE111" s="205"/>
      <c r="EF111" s="205"/>
      <c r="EG111" s="205"/>
      <c r="EH111" s="205"/>
      <c r="EI111" s="205"/>
      <c r="EJ111" s="205"/>
      <c r="EK111" s="205"/>
      <c r="EL111" s="205"/>
      <c r="EM111" s="205"/>
      <c r="EN111" s="205"/>
      <c r="EO111" s="205"/>
      <c r="EP111" s="205"/>
      <c r="EQ111" s="205"/>
      <c r="ER111" s="205"/>
      <c r="ES111" s="205"/>
      <c r="ET111" s="205"/>
      <c r="EU111" s="205"/>
      <c r="EV111" s="205"/>
      <c r="EW111" s="205"/>
      <c r="EX111" s="205"/>
      <c r="EY111" s="205"/>
      <c r="EZ111" s="205"/>
      <c r="FA111" s="205"/>
      <c r="FB111" s="205"/>
      <c r="FC111" s="205"/>
      <c r="FD111" s="205"/>
      <c r="FE111" s="205"/>
      <c r="FF111" s="205"/>
      <c r="FG111" s="205"/>
      <c r="FH111" s="205"/>
      <c r="FI111" s="205"/>
      <c r="FJ111" s="205"/>
      <c r="FK111" s="205"/>
      <c r="FL111" s="205"/>
      <c r="FM111" s="205"/>
      <c r="FN111" s="205"/>
      <c r="FO111" s="205"/>
      <c r="FP111" s="205"/>
      <c r="FQ111" s="205"/>
      <c r="FR111" s="205"/>
      <c r="FS111" s="205"/>
      <c r="FT111" s="205"/>
      <c r="FU111" s="205"/>
      <c r="FV111" s="205"/>
      <c r="FW111" s="205"/>
      <c r="FX111" s="205"/>
      <c r="FY111" s="205"/>
      <c r="FZ111" s="205"/>
      <c r="GA111" s="205"/>
      <c r="GB111" s="205"/>
      <c r="GC111" s="205"/>
      <c r="GD111" s="205"/>
      <c r="GE111" s="205"/>
      <c r="GF111" s="205"/>
      <c r="GG111" s="205"/>
      <c r="GH111" s="205"/>
      <c r="GI111" s="205"/>
      <c r="GJ111" s="205"/>
      <c r="GK111" s="205"/>
      <c r="GL111" s="205"/>
      <c r="GM111" s="205"/>
      <c r="GN111" s="205"/>
      <c r="GO111" s="205"/>
      <c r="GP111" s="205"/>
      <c r="GQ111" s="205"/>
      <c r="GR111" s="205"/>
      <c r="GS111" s="205"/>
      <c r="GT111" s="205"/>
      <c r="GU111" s="205"/>
      <c r="GV111" s="205"/>
      <c r="GW111" s="205"/>
      <c r="GX111" s="205"/>
      <c r="GY111" s="205"/>
      <c r="GZ111" s="205"/>
      <c r="HA111" s="205"/>
      <c r="HB111" s="205"/>
      <c r="HC111" s="205"/>
      <c r="HD111" s="205"/>
      <c r="HE111" s="205"/>
      <c r="HF111" s="205"/>
      <c r="HG111" s="205"/>
      <c r="HH111" s="205"/>
      <c r="HI111" s="205"/>
      <c r="HJ111" s="205"/>
      <c r="HK111" s="205"/>
      <c r="HL111" s="205"/>
      <c r="HM111" s="205"/>
      <c r="HN111" s="205"/>
      <c r="HO111" s="205"/>
      <c r="HP111" s="205"/>
      <c r="HQ111" s="205"/>
      <c r="HR111" s="205"/>
      <c r="HS111" s="205"/>
      <c r="HT111" s="205"/>
      <c r="HU111" s="205"/>
      <c r="HV111" s="205"/>
      <c r="HW111" s="205"/>
      <c r="HX111" s="205"/>
      <c r="HY111" s="205"/>
      <c r="HZ111" s="205"/>
      <c r="IA111" s="205"/>
      <c r="IB111" s="205"/>
      <c r="IC111" s="205"/>
      <c r="ID111" s="205"/>
      <c r="IE111" s="205"/>
      <c r="IF111" s="205"/>
      <c r="IG111" s="205"/>
      <c r="IH111" s="205"/>
      <c r="II111" s="205"/>
      <c r="IJ111" s="205"/>
      <c r="IK111" s="205"/>
      <c r="IL111" s="205"/>
      <c r="IM111" s="205"/>
      <c r="IN111" s="205"/>
      <c r="IO111" s="205"/>
      <c r="IP111" s="205"/>
      <c r="IQ111" s="205"/>
      <c r="IR111" s="205"/>
      <c r="IS111" s="205"/>
      <c r="IT111" s="205"/>
      <c r="IU111" s="205"/>
      <c r="IV111" s="205"/>
    </row>
    <row r="112" spans="1:256" customFormat="1" ht="15.95" customHeight="1">
      <c r="A112" s="209" t="s">
        <v>1408</v>
      </c>
      <c r="B112" s="134">
        <f t="shared" si="31"/>
        <v>13913</v>
      </c>
      <c r="C112" s="134">
        <f t="shared" ref="C112" si="39">SUM(C113:C114)</f>
        <v>7213</v>
      </c>
      <c r="D112" s="134">
        <f t="shared" si="32"/>
        <v>6700</v>
      </c>
      <c r="E112" s="134">
        <f t="shared" ref="E112:I112" si="40">SUM(E113:E114)</f>
        <v>1500</v>
      </c>
      <c r="F112" s="134">
        <f t="shared" si="40"/>
        <v>1000</v>
      </c>
      <c r="G112" s="134">
        <f t="shared" si="40"/>
        <v>1700</v>
      </c>
      <c r="H112" s="134">
        <f t="shared" si="40"/>
        <v>1500</v>
      </c>
      <c r="I112" s="134">
        <f t="shared" si="40"/>
        <v>1000</v>
      </c>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05"/>
      <c r="DK112" s="205"/>
      <c r="DL112" s="205"/>
      <c r="DM112" s="205"/>
      <c r="DN112" s="205"/>
      <c r="DO112" s="205"/>
      <c r="DP112" s="205"/>
      <c r="DQ112" s="205"/>
      <c r="DR112" s="205"/>
      <c r="DS112" s="205"/>
      <c r="DT112" s="205"/>
      <c r="DU112" s="205"/>
      <c r="DV112" s="205"/>
      <c r="DW112" s="205"/>
      <c r="DX112" s="205"/>
      <c r="DY112" s="205"/>
      <c r="DZ112" s="205"/>
      <c r="EA112" s="205"/>
      <c r="EB112" s="205"/>
      <c r="EC112" s="205"/>
      <c r="ED112" s="205"/>
      <c r="EE112" s="205"/>
      <c r="EF112" s="205"/>
      <c r="EG112" s="205"/>
      <c r="EH112" s="205"/>
      <c r="EI112" s="205"/>
      <c r="EJ112" s="205"/>
      <c r="EK112" s="205"/>
      <c r="EL112" s="205"/>
      <c r="EM112" s="205"/>
      <c r="EN112" s="205"/>
      <c r="EO112" s="205"/>
      <c r="EP112" s="205"/>
      <c r="EQ112" s="205"/>
      <c r="ER112" s="205"/>
      <c r="ES112" s="205"/>
      <c r="ET112" s="205"/>
      <c r="EU112" s="205"/>
      <c r="EV112" s="205"/>
      <c r="EW112" s="205"/>
      <c r="EX112" s="205"/>
      <c r="EY112" s="205"/>
      <c r="EZ112" s="205"/>
      <c r="FA112" s="205"/>
      <c r="FB112" s="205"/>
      <c r="FC112" s="205"/>
      <c r="FD112" s="205"/>
      <c r="FE112" s="205"/>
      <c r="FF112" s="205"/>
      <c r="FG112" s="205"/>
      <c r="FH112" s="205"/>
      <c r="FI112" s="205"/>
      <c r="FJ112" s="205"/>
      <c r="FK112" s="205"/>
      <c r="FL112" s="205"/>
      <c r="FM112" s="205"/>
      <c r="FN112" s="205"/>
      <c r="FO112" s="205"/>
      <c r="FP112" s="205"/>
      <c r="FQ112" s="205"/>
      <c r="FR112" s="205"/>
      <c r="FS112" s="205"/>
      <c r="FT112" s="205"/>
      <c r="FU112" s="205"/>
      <c r="FV112" s="205"/>
      <c r="FW112" s="205"/>
      <c r="FX112" s="205"/>
      <c r="FY112" s="205"/>
      <c r="FZ112" s="205"/>
      <c r="GA112" s="205"/>
      <c r="GB112" s="205"/>
      <c r="GC112" s="205"/>
      <c r="GD112" s="205"/>
      <c r="GE112" s="205"/>
      <c r="GF112" s="205"/>
      <c r="GG112" s="205"/>
      <c r="GH112" s="205"/>
      <c r="GI112" s="205"/>
      <c r="GJ112" s="205"/>
      <c r="GK112" s="205"/>
      <c r="GL112" s="205"/>
      <c r="GM112" s="205"/>
      <c r="GN112" s="205"/>
      <c r="GO112" s="205"/>
      <c r="GP112" s="205"/>
      <c r="GQ112" s="205"/>
      <c r="GR112" s="205"/>
      <c r="GS112" s="205"/>
      <c r="GT112" s="205"/>
      <c r="GU112" s="205"/>
      <c r="GV112" s="205"/>
      <c r="GW112" s="205"/>
      <c r="GX112" s="205"/>
      <c r="GY112" s="205"/>
      <c r="GZ112" s="205"/>
      <c r="HA112" s="205"/>
      <c r="HB112" s="205"/>
      <c r="HC112" s="205"/>
      <c r="HD112" s="205"/>
      <c r="HE112" s="205"/>
      <c r="HF112" s="205"/>
      <c r="HG112" s="205"/>
      <c r="HH112" s="205"/>
      <c r="HI112" s="205"/>
      <c r="HJ112" s="205"/>
      <c r="HK112" s="205"/>
      <c r="HL112" s="205"/>
      <c r="HM112" s="205"/>
      <c r="HN112" s="205"/>
      <c r="HO112" s="205"/>
      <c r="HP112" s="205"/>
      <c r="HQ112" s="205"/>
      <c r="HR112" s="205"/>
      <c r="HS112" s="205"/>
      <c r="HT112" s="205"/>
      <c r="HU112" s="205"/>
      <c r="HV112" s="205"/>
      <c r="HW112" s="205"/>
      <c r="HX112" s="205"/>
      <c r="HY112" s="205"/>
      <c r="HZ112" s="205"/>
      <c r="IA112" s="205"/>
      <c r="IB112" s="205"/>
      <c r="IC112" s="205"/>
      <c r="ID112" s="205"/>
      <c r="IE112" s="205"/>
      <c r="IF112" s="205"/>
      <c r="IG112" s="205"/>
      <c r="IH112" s="205"/>
      <c r="II112" s="205"/>
      <c r="IJ112" s="205"/>
      <c r="IK112" s="205"/>
      <c r="IL112" s="205"/>
      <c r="IM112" s="205"/>
      <c r="IN112" s="205"/>
      <c r="IO112" s="205"/>
      <c r="IP112" s="205"/>
      <c r="IQ112" s="205"/>
      <c r="IR112" s="205"/>
      <c r="IS112" s="205"/>
      <c r="IT112" s="205"/>
      <c r="IU112" s="205"/>
      <c r="IV112" s="205"/>
    </row>
    <row r="113" spans="1:256" customFormat="1" ht="15.95" customHeight="1">
      <c r="A113" s="210" t="s">
        <v>1409</v>
      </c>
      <c r="B113" s="134">
        <f t="shared" si="31"/>
        <v>13913</v>
      </c>
      <c r="C113" s="134">
        <f>6213+1000</f>
        <v>7213</v>
      </c>
      <c r="D113" s="134">
        <f t="shared" si="32"/>
        <v>6700</v>
      </c>
      <c r="E113" s="134">
        <f>500+1000</f>
        <v>1500</v>
      </c>
      <c r="F113" s="134">
        <v>1000</v>
      </c>
      <c r="G113" s="134">
        <f>700+1000</f>
        <v>1700</v>
      </c>
      <c r="H113" s="134">
        <f>1000+500</f>
        <v>1500</v>
      </c>
      <c r="I113" s="134">
        <v>1000</v>
      </c>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05"/>
      <c r="DK113" s="205"/>
      <c r="DL113" s="205"/>
      <c r="DM113" s="205"/>
      <c r="DN113" s="205"/>
      <c r="DO113" s="205"/>
      <c r="DP113" s="205"/>
      <c r="DQ113" s="205"/>
      <c r="DR113" s="205"/>
      <c r="DS113" s="205"/>
      <c r="DT113" s="205"/>
      <c r="DU113" s="205"/>
      <c r="DV113" s="205"/>
      <c r="DW113" s="205"/>
      <c r="DX113" s="205"/>
      <c r="DY113" s="205"/>
      <c r="DZ113" s="205"/>
      <c r="EA113" s="205"/>
      <c r="EB113" s="205"/>
      <c r="EC113" s="205"/>
      <c r="ED113" s="205"/>
      <c r="EE113" s="205"/>
      <c r="EF113" s="205"/>
      <c r="EG113" s="205"/>
      <c r="EH113" s="205"/>
      <c r="EI113" s="205"/>
      <c r="EJ113" s="205"/>
      <c r="EK113" s="205"/>
      <c r="EL113" s="205"/>
      <c r="EM113" s="205"/>
      <c r="EN113" s="205"/>
      <c r="EO113" s="205"/>
      <c r="EP113" s="205"/>
      <c r="EQ113" s="205"/>
      <c r="ER113" s="205"/>
      <c r="ES113" s="205"/>
      <c r="ET113" s="205"/>
      <c r="EU113" s="205"/>
      <c r="EV113" s="205"/>
      <c r="EW113" s="205"/>
      <c r="EX113" s="205"/>
      <c r="EY113" s="205"/>
      <c r="EZ113" s="205"/>
      <c r="FA113" s="205"/>
      <c r="FB113" s="205"/>
      <c r="FC113" s="205"/>
      <c r="FD113" s="205"/>
      <c r="FE113" s="205"/>
      <c r="FF113" s="205"/>
      <c r="FG113" s="205"/>
      <c r="FH113" s="205"/>
      <c r="FI113" s="205"/>
      <c r="FJ113" s="205"/>
      <c r="FK113" s="205"/>
      <c r="FL113" s="205"/>
      <c r="FM113" s="205"/>
      <c r="FN113" s="205"/>
      <c r="FO113" s="205"/>
      <c r="FP113" s="205"/>
      <c r="FQ113" s="205"/>
      <c r="FR113" s="205"/>
      <c r="FS113" s="205"/>
      <c r="FT113" s="205"/>
      <c r="FU113" s="205"/>
      <c r="FV113" s="205"/>
      <c r="FW113" s="205"/>
      <c r="FX113" s="205"/>
      <c r="FY113" s="205"/>
      <c r="FZ113" s="205"/>
      <c r="GA113" s="205"/>
      <c r="GB113" s="205"/>
      <c r="GC113" s="205"/>
      <c r="GD113" s="205"/>
      <c r="GE113" s="205"/>
      <c r="GF113" s="205"/>
      <c r="GG113" s="205"/>
      <c r="GH113" s="205"/>
      <c r="GI113" s="205"/>
      <c r="GJ113" s="205"/>
      <c r="GK113" s="205"/>
      <c r="GL113" s="205"/>
      <c r="GM113" s="205"/>
      <c r="GN113" s="205"/>
      <c r="GO113" s="205"/>
      <c r="GP113" s="205"/>
      <c r="GQ113" s="205"/>
      <c r="GR113" s="205"/>
      <c r="GS113" s="205"/>
      <c r="GT113" s="205"/>
      <c r="GU113" s="205"/>
      <c r="GV113" s="205"/>
      <c r="GW113" s="205"/>
      <c r="GX113" s="205"/>
      <c r="GY113" s="205"/>
      <c r="GZ113" s="205"/>
      <c r="HA113" s="205"/>
      <c r="HB113" s="205"/>
      <c r="HC113" s="205"/>
      <c r="HD113" s="205"/>
      <c r="HE113" s="205"/>
      <c r="HF113" s="205"/>
      <c r="HG113" s="205"/>
      <c r="HH113" s="205"/>
      <c r="HI113" s="205"/>
      <c r="HJ113" s="205"/>
      <c r="HK113" s="205"/>
      <c r="HL113" s="205"/>
      <c r="HM113" s="205"/>
      <c r="HN113" s="205"/>
      <c r="HO113" s="205"/>
      <c r="HP113" s="205"/>
      <c r="HQ113" s="205"/>
      <c r="HR113" s="205"/>
      <c r="HS113" s="205"/>
      <c r="HT113" s="205"/>
      <c r="HU113" s="205"/>
      <c r="HV113" s="205"/>
      <c r="HW113" s="205"/>
      <c r="HX113" s="205"/>
      <c r="HY113" s="205"/>
      <c r="HZ113" s="205"/>
      <c r="IA113" s="205"/>
      <c r="IB113" s="205"/>
      <c r="IC113" s="205"/>
      <c r="ID113" s="205"/>
      <c r="IE113" s="205"/>
      <c r="IF113" s="205"/>
      <c r="IG113" s="205"/>
      <c r="IH113" s="205"/>
      <c r="II113" s="205"/>
      <c r="IJ113" s="205"/>
      <c r="IK113" s="205"/>
      <c r="IL113" s="205"/>
      <c r="IM113" s="205"/>
      <c r="IN113" s="205"/>
      <c r="IO113" s="205"/>
      <c r="IP113" s="205"/>
      <c r="IQ113" s="205"/>
      <c r="IR113" s="205"/>
      <c r="IS113" s="205"/>
      <c r="IT113" s="205"/>
      <c r="IU113" s="205"/>
      <c r="IV113" s="205"/>
    </row>
    <row r="114" spans="1:256" customFormat="1" ht="15.95" hidden="1" customHeight="1">
      <c r="A114" s="210" t="s">
        <v>1410</v>
      </c>
      <c r="B114" s="134">
        <f t="shared" si="31"/>
        <v>0</v>
      </c>
      <c r="C114" s="134"/>
      <c r="D114" s="134">
        <f t="shared" si="32"/>
        <v>0</v>
      </c>
      <c r="E114" s="134"/>
      <c r="F114" s="134"/>
      <c r="G114" s="134"/>
      <c r="H114" s="134"/>
      <c r="I114" s="134"/>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c r="BY114" s="205"/>
      <c r="BZ114" s="205"/>
      <c r="CA114" s="205"/>
      <c r="CB114" s="205"/>
      <c r="CC114" s="205"/>
      <c r="CD114" s="205"/>
      <c r="CE114" s="205"/>
      <c r="CF114" s="205"/>
      <c r="CG114" s="205"/>
      <c r="CH114" s="205"/>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5"/>
      <c r="DF114" s="205"/>
      <c r="DG114" s="205"/>
      <c r="DH114" s="205"/>
      <c r="DI114" s="205"/>
      <c r="DJ114" s="205"/>
      <c r="DK114" s="205"/>
      <c r="DL114" s="205"/>
      <c r="DM114" s="205"/>
      <c r="DN114" s="205"/>
      <c r="DO114" s="205"/>
      <c r="DP114" s="205"/>
      <c r="DQ114" s="205"/>
      <c r="DR114" s="205"/>
      <c r="DS114" s="205"/>
      <c r="DT114" s="205"/>
      <c r="DU114" s="205"/>
      <c r="DV114" s="205"/>
      <c r="DW114" s="205"/>
      <c r="DX114" s="205"/>
      <c r="DY114" s="205"/>
      <c r="DZ114" s="205"/>
      <c r="EA114" s="205"/>
      <c r="EB114" s="205"/>
      <c r="EC114" s="205"/>
      <c r="ED114" s="205"/>
      <c r="EE114" s="205"/>
      <c r="EF114" s="205"/>
      <c r="EG114" s="205"/>
      <c r="EH114" s="205"/>
      <c r="EI114" s="205"/>
      <c r="EJ114" s="205"/>
      <c r="EK114" s="205"/>
      <c r="EL114" s="205"/>
      <c r="EM114" s="205"/>
      <c r="EN114" s="205"/>
      <c r="EO114" s="205"/>
      <c r="EP114" s="205"/>
      <c r="EQ114" s="205"/>
      <c r="ER114" s="205"/>
      <c r="ES114" s="205"/>
      <c r="ET114" s="205"/>
      <c r="EU114" s="205"/>
      <c r="EV114" s="205"/>
      <c r="EW114" s="205"/>
      <c r="EX114" s="205"/>
      <c r="EY114" s="205"/>
      <c r="EZ114" s="205"/>
      <c r="FA114" s="205"/>
      <c r="FB114" s="205"/>
      <c r="FC114" s="205"/>
      <c r="FD114" s="205"/>
      <c r="FE114" s="205"/>
      <c r="FF114" s="205"/>
      <c r="FG114" s="205"/>
      <c r="FH114" s="205"/>
      <c r="FI114" s="205"/>
      <c r="FJ114" s="205"/>
      <c r="FK114" s="205"/>
      <c r="FL114" s="205"/>
      <c r="FM114" s="205"/>
      <c r="FN114" s="205"/>
      <c r="FO114" s="205"/>
      <c r="FP114" s="205"/>
      <c r="FQ114" s="205"/>
      <c r="FR114" s="205"/>
      <c r="FS114" s="205"/>
      <c r="FT114" s="205"/>
      <c r="FU114" s="205"/>
      <c r="FV114" s="205"/>
      <c r="FW114" s="205"/>
      <c r="FX114" s="205"/>
      <c r="FY114" s="205"/>
      <c r="FZ114" s="205"/>
      <c r="GA114" s="205"/>
      <c r="GB114" s="205"/>
      <c r="GC114" s="205"/>
      <c r="GD114" s="205"/>
      <c r="GE114" s="205"/>
      <c r="GF114" s="205"/>
      <c r="GG114" s="205"/>
      <c r="GH114" s="205"/>
      <c r="GI114" s="205"/>
      <c r="GJ114" s="205"/>
      <c r="GK114" s="205"/>
      <c r="GL114" s="205"/>
      <c r="GM114" s="205"/>
      <c r="GN114" s="205"/>
      <c r="GO114" s="205"/>
      <c r="GP114" s="205"/>
      <c r="GQ114" s="205"/>
      <c r="GR114" s="205"/>
      <c r="GS114" s="205"/>
      <c r="GT114" s="205"/>
      <c r="GU114" s="205"/>
      <c r="GV114" s="205"/>
      <c r="GW114" s="205"/>
      <c r="GX114" s="205"/>
      <c r="GY114" s="205"/>
      <c r="GZ114" s="205"/>
      <c r="HA114" s="205"/>
      <c r="HB114" s="205"/>
      <c r="HC114" s="205"/>
      <c r="HD114" s="205"/>
      <c r="HE114" s="205"/>
      <c r="HF114" s="205"/>
      <c r="HG114" s="205"/>
      <c r="HH114" s="205"/>
      <c r="HI114" s="205"/>
      <c r="HJ114" s="205"/>
      <c r="HK114" s="205"/>
      <c r="HL114" s="205"/>
      <c r="HM114" s="205"/>
      <c r="HN114" s="205"/>
      <c r="HO114" s="205"/>
      <c r="HP114" s="205"/>
      <c r="HQ114" s="205"/>
      <c r="HR114" s="205"/>
      <c r="HS114" s="205"/>
      <c r="HT114" s="205"/>
      <c r="HU114" s="205"/>
      <c r="HV114" s="205"/>
      <c r="HW114" s="205"/>
      <c r="HX114" s="205"/>
      <c r="HY114" s="205"/>
      <c r="HZ114" s="205"/>
      <c r="IA114" s="205"/>
      <c r="IB114" s="205"/>
      <c r="IC114" s="205"/>
      <c r="ID114" s="205"/>
      <c r="IE114" s="205"/>
      <c r="IF114" s="205"/>
      <c r="IG114" s="205"/>
      <c r="IH114" s="205"/>
      <c r="II114" s="205"/>
      <c r="IJ114" s="205"/>
      <c r="IK114" s="205"/>
      <c r="IL114" s="205"/>
      <c r="IM114" s="205"/>
      <c r="IN114" s="205"/>
      <c r="IO114" s="205"/>
      <c r="IP114" s="205"/>
      <c r="IQ114" s="205"/>
      <c r="IR114" s="205"/>
      <c r="IS114" s="205"/>
      <c r="IT114" s="205"/>
      <c r="IU114" s="205"/>
      <c r="IV114" s="205"/>
    </row>
    <row r="115" spans="1:256" customFormat="1" ht="15.95" customHeight="1">
      <c r="A115" s="209" t="s">
        <v>1411</v>
      </c>
      <c r="B115" s="134">
        <f t="shared" si="31"/>
        <v>31280</v>
      </c>
      <c r="C115" s="134">
        <f t="shared" ref="C115" si="41">SUM(C116)</f>
        <v>2912</v>
      </c>
      <c r="D115" s="134">
        <f t="shared" si="32"/>
        <v>28368</v>
      </c>
      <c r="E115" s="134">
        <f t="shared" ref="E115:I115" si="42">SUM(E116)</f>
        <v>4651</v>
      </c>
      <c r="F115" s="134">
        <f t="shared" si="42"/>
        <v>1986</v>
      </c>
      <c r="G115" s="134">
        <f t="shared" si="42"/>
        <v>6768</v>
      </c>
      <c r="H115" s="134">
        <f t="shared" si="42"/>
        <v>14963</v>
      </c>
      <c r="I115" s="134">
        <f t="shared" si="42"/>
        <v>0</v>
      </c>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c r="BY115" s="205"/>
      <c r="BZ115" s="205"/>
      <c r="CA115" s="205"/>
      <c r="CB115" s="205"/>
      <c r="CC115" s="205"/>
      <c r="CD115" s="205"/>
      <c r="CE115" s="205"/>
      <c r="CF115" s="205"/>
      <c r="CG115" s="205"/>
      <c r="CH115" s="205"/>
      <c r="CI115" s="205"/>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5"/>
      <c r="DF115" s="205"/>
      <c r="DG115" s="205"/>
      <c r="DH115" s="205"/>
      <c r="DI115" s="205"/>
      <c r="DJ115" s="205"/>
      <c r="DK115" s="205"/>
      <c r="DL115" s="205"/>
      <c r="DM115" s="205"/>
      <c r="DN115" s="205"/>
      <c r="DO115" s="205"/>
      <c r="DP115" s="205"/>
      <c r="DQ115" s="205"/>
      <c r="DR115" s="205"/>
      <c r="DS115" s="205"/>
      <c r="DT115" s="205"/>
      <c r="DU115" s="205"/>
      <c r="DV115" s="205"/>
      <c r="DW115" s="205"/>
      <c r="DX115" s="205"/>
      <c r="DY115" s="205"/>
      <c r="DZ115" s="205"/>
      <c r="EA115" s="205"/>
      <c r="EB115" s="205"/>
      <c r="EC115" s="205"/>
      <c r="ED115" s="205"/>
      <c r="EE115" s="205"/>
      <c r="EF115" s="205"/>
      <c r="EG115" s="205"/>
      <c r="EH115" s="205"/>
      <c r="EI115" s="205"/>
      <c r="EJ115" s="205"/>
      <c r="EK115" s="205"/>
      <c r="EL115" s="205"/>
      <c r="EM115" s="205"/>
      <c r="EN115" s="205"/>
      <c r="EO115" s="205"/>
      <c r="EP115" s="205"/>
      <c r="EQ115" s="205"/>
      <c r="ER115" s="205"/>
      <c r="ES115" s="205"/>
      <c r="ET115" s="205"/>
      <c r="EU115" s="205"/>
      <c r="EV115" s="205"/>
      <c r="EW115" s="205"/>
      <c r="EX115" s="205"/>
      <c r="EY115" s="205"/>
      <c r="EZ115" s="205"/>
      <c r="FA115" s="205"/>
      <c r="FB115" s="205"/>
      <c r="FC115" s="205"/>
      <c r="FD115" s="205"/>
      <c r="FE115" s="205"/>
      <c r="FF115" s="205"/>
      <c r="FG115" s="205"/>
      <c r="FH115" s="205"/>
      <c r="FI115" s="205"/>
      <c r="FJ115" s="205"/>
      <c r="FK115" s="205"/>
      <c r="FL115" s="205"/>
      <c r="FM115" s="205"/>
      <c r="FN115" s="205"/>
      <c r="FO115" s="205"/>
      <c r="FP115" s="205"/>
      <c r="FQ115" s="205"/>
      <c r="FR115" s="205"/>
      <c r="FS115" s="205"/>
      <c r="FT115" s="205"/>
      <c r="FU115" s="205"/>
      <c r="FV115" s="205"/>
      <c r="FW115" s="205"/>
      <c r="FX115" s="205"/>
      <c r="FY115" s="205"/>
      <c r="FZ115" s="205"/>
      <c r="GA115" s="205"/>
      <c r="GB115" s="205"/>
      <c r="GC115" s="205"/>
      <c r="GD115" s="205"/>
      <c r="GE115" s="205"/>
      <c r="GF115" s="205"/>
      <c r="GG115" s="205"/>
      <c r="GH115" s="205"/>
      <c r="GI115" s="205"/>
      <c r="GJ115" s="205"/>
      <c r="GK115" s="205"/>
      <c r="GL115" s="205"/>
      <c r="GM115" s="205"/>
      <c r="GN115" s="205"/>
      <c r="GO115" s="205"/>
      <c r="GP115" s="205"/>
      <c r="GQ115" s="205"/>
      <c r="GR115" s="205"/>
      <c r="GS115" s="205"/>
      <c r="GT115" s="205"/>
      <c r="GU115" s="205"/>
      <c r="GV115" s="205"/>
      <c r="GW115" s="205"/>
      <c r="GX115" s="205"/>
      <c r="GY115" s="205"/>
      <c r="GZ115" s="205"/>
      <c r="HA115" s="205"/>
      <c r="HB115" s="205"/>
      <c r="HC115" s="205"/>
      <c r="HD115" s="205"/>
      <c r="HE115" s="205"/>
      <c r="HF115" s="205"/>
      <c r="HG115" s="205"/>
      <c r="HH115" s="205"/>
      <c r="HI115" s="205"/>
      <c r="HJ115" s="205"/>
      <c r="HK115" s="205"/>
      <c r="HL115" s="205"/>
      <c r="HM115" s="205"/>
      <c r="HN115" s="205"/>
      <c r="HO115" s="205"/>
      <c r="HP115" s="205"/>
      <c r="HQ115" s="205"/>
      <c r="HR115" s="205"/>
      <c r="HS115" s="205"/>
      <c r="HT115" s="205"/>
      <c r="HU115" s="205"/>
      <c r="HV115" s="205"/>
      <c r="HW115" s="205"/>
      <c r="HX115" s="205"/>
      <c r="HY115" s="205"/>
      <c r="HZ115" s="205"/>
      <c r="IA115" s="205"/>
      <c r="IB115" s="205"/>
      <c r="IC115" s="205"/>
      <c r="ID115" s="205"/>
      <c r="IE115" s="205"/>
      <c r="IF115" s="205"/>
      <c r="IG115" s="205"/>
      <c r="IH115" s="205"/>
      <c r="II115" s="205"/>
      <c r="IJ115" s="205"/>
      <c r="IK115" s="205"/>
      <c r="IL115" s="205"/>
      <c r="IM115" s="205"/>
      <c r="IN115" s="205"/>
      <c r="IO115" s="205"/>
      <c r="IP115" s="205"/>
      <c r="IQ115" s="205"/>
      <c r="IR115" s="205"/>
      <c r="IS115" s="205"/>
      <c r="IT115" s="205"/>
      <c r="IU115" s="205"/>
      <c r="IV115" s="205"/>
    </row>
    <row r="116" spans="1:256" customFormat="1" ht="15.95" customHeight="1">
      <c r="A116" s="210" t="s">
        <v>1412</v>
      </c>
      <c r="B116" s="134">
        <f t="shared" si="31"/>
        <v>31280</v>
      </c>
      <c r="C116" s="134">
        <v>2912</v>
      </c>
      <c r="D116" s="134">
        <f t="shared" si="32"/>
        <v>28368</v>
      </c>
      <c r="E116" s="134">
        <v>4651</v>
      </c>
      <c r="F116" s="134">
        <f>1100+886</f>
        <v>1986</v>
      </c>
      <c r="G116" s="134">
        <v>6768</v>
      </c>
      <c r="H116" s="134">
        <v>14963</v>
      </c>
      <c r="I116" s="134"/>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c r="BY116" s="205"/>
      <c r="BZ116" s="205"/>
      <c r="CA116" s="205"/>
      <c r="CB116" s="205"/>
      <c r="CC116" s="205"/>
      <c r="CD116" s="205"/>
      <c r="CE116" s="205"/>
      <c r="CF116" s="205"/>
      <c r="CG116" s="205"/>
      <c r="CH116" s="205"/>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5"/>
      <c r="DF116" s="205"/>
      <c r="DG116" s="205"/>
      <c r="DH116" s="205"/>
      <c r="DI116" s="205"/>
      <c r="DJ116" s="205"/>
      <c r="DK116" s="205"/>
      <c r="DL116" s="205"/>
      <c r="DM116" s="205"/>
      <c r="DN116" s="205"/>
      <c r="DO116" s="205"/>
      <c r="DP116" s="205"/>
      <c r="DQ116" s="205"/>
      <c r="DR116" s="205"/>
      <c r="DS116" s="205"/>
      <c r="DT116" s="205"/>
      <c r="DU116" s="205"/>
      <c r="DV116" s="205"/>
      <c r="DW116" s="205"/>
      <c r="DX116" s="205"/>
      <c r="DY116" s="205"/>
      <c r="DZ116" s="205"/>
      <c r="EA116" s="205"/>
      <c r="EB116" s="205"/>
      <c r="EC116" s="205"/>
      <c r="ED116" s="205"/>
      <c r="EE116" s="205"/>
      <c r="EF116" s="205"/>
      <c r="EG116" s="205"/>
      <c r="EH116" s="205"/>
      <c r="EI116" s="205"/>
      <c r="EJ116" s="205"/>
      <c r="EK116" s="205"/>
      <c r="EL116" s="205"/>
      <c r="EM116" s="205"/>
      <c r="EN116" s="205"/>
      <c r="EO116" s="205"/>
      <c r="EP116" s="205"/>
      <c r="EQ116" s="205"/>
      <c r="ER116" s="205"/>
      <c r="ES116" s="205"/>
      <c r="ET116" s="205"/>
      <c r="EU116" s="205"/>
      <c r="EV116" s="205"/>
      <c r="EW116" s="205"/>
      <c r="EX116" s="205"/>
      <c r="EY116" s="205"/>
      <c r="EZ116" s="205"/>
      <c r="FA116" s="205"/>
      <c r="FB116" s="205"/>
      <c r="FC116" s="205"/>
      <c r="FD116" s="205"/>
      <c r="FE116" s="205"/>
      <c r="FF116" s="205"/>
      <c r="FG116" s="205"/>
      <c r="FH116" s="205"/>
      <c r="FI116" s="205"/>
      <c r="FJ116" s="205"/>
      <c r="FK116" s="205"/>
      <c r="FL116" s="205"/>
      <c r="FM116" s="205"/>
      <c r="FN116" s="205"/>
      <c r="FO116" s="205"/>
      <c r="FP116" s="205"/>
      <c r="FQ116" s="205"/>
      <c r="FR116" s="205"/>
      <c r="FS116" s="205"/>
      <c r="FT116" s="205"/>
      <c r="FU116" s="205"/>
      <c r="FV116" s="205"/>
      <c r="FW116" s="205"/>
      <c r="FX116" s="205"/>
      <c r="FY116" s="205"/>
      <c r="FZ116" s="205"/>
      <c r="GA116" s="205"/>
      <c r="GB116" s="205"/>
      <c r="GC116" s="205"/>
      <c r="GD116" s="205"/>
      <c r="GE116" s="205"/>
      <c r="GF116" s="205"/>
      <c r="GG116" s="205"/>
      <c r="GH116" s="205"/>
      <c r="GI116" s="205"/>
      <c r="GJ116" s="205"/>
      <c r="GK116" s="205"/>
      <c r="GL116" s="205"/>
      <c r="GM116" s="205"/>
      <c r="GN116" s="205"/>
      <c r="GO116" s="205"/>
      <c r="GP116" s="205"/>
      <c r="GQ116" s="205"/>
      <c r="GR116" s="205"/>
      <c r="GS116" s="205"/>
      <c r="GT116" s="205"/>
      <c r="GU116" s="205"/>
      <c r="GV116" s="205"/>
      <c r="GW116" s="205"/>
      <c r="GX116" s="205"/>
      <c r="GY116" s="205"/>
      <c r="GZ116" s="205"/>
      <c r="HA116" s="205"/>
      <c r="HB116" s="205"/>
      <c r="HC116" s="205"/>
      <c r="HD116" s="205"/>
      <c r="HE116" s="205"/>
      <c r="HF116" s="205"/>
      <c r="HG116" s="205"/>
      <c r="HH116" s="205"/>
      <c r="HI116" s="205"/>
      <c r="HJ116" s="205"/>
      <c r="HK116" s="205"/>
      <c r="HL116" s="205"/>
      <c r="HM116" s="205"/>
      <c r="HN116" s="205"/>
      <c r="HO116" s="205"/>
      <c r="HP116" s="205"/>
      <c r="HQ116" s="205"/>
      <c r="HR116" s="205"/>
      <c r="HS116" s="205"/>
      <c r="HT116" s="205"/>
      <c r="HU116" s="205"/>
      <c r="HV116" s="205"/>
      <c r="HW116" s="205"/>
      <c r="HX116" s="205"/>
      <c r="HY116" s="205"/>
      <c r="HZ116" s="205"/>
      <c r="IA116" s="205"/>
      <c r="IB116" s="205"/>
      <c r="IC116" s="205"/>
      <c r="ID116" s="205"/>
      <c r="IE116" s="205"/>
      <c r="IF116" s="205"/>
      <c r="IG116" s="205"/>
      <c r="IH116" s="205"/>
      <c r="II116" s="205"/>
      <c r="IJ116" s="205"/>
      <c r="IK116" s="205"/>
      <c r="IL116" s="205"/>
      <c r="IM116" s="205"/>
      <c r="IN116" s="205"/>
      <c r="IO116" s="205"/>
      <c r="IP116" s="205"/>
      <c r="IQ116" s="205"/>
      <c r="IR116" s="205"/>
      <c r="IS116" s="205"/>
      <c r="IT116" s="205"/>
      <c r="IU116" s="205"/>
      <c r="IV116" s="205"/>
    </row>
    <row r="117" spans="1:256" customFormat="1" ht="15.95" customHeight="1">
      <c r="A117" s="209" t="s">
        <v>1413</v>
      </c>
      <c r="B117" s="134">
        <f t="shared" si="31"/>
        <v>4260</v>
      </c>
      <c r="C117" s="134">
        <f t="shared" ref="C117" si="43">SUM(C118:C118)</f>
        <v>2015</v>
      </c>
      <c r="D117" s="134">
        <f t="shared" si="32"/>
        <v>2245</v>
      </c>
      <c r="E117" s="134">
        <f t="shared" ref="E117:I117" si="44">SUM(E118:E118)</f>
        <v>1000</v>
      </c>
      <c r="F117" s="134">
        <f t="shared" si="44"/>
        <v>1245</v>
      </c>
      <c r="G117" s="134">
        <f t="shared" si="44"/>
        <v>0</v>
      </c>
      <c r="H117" s="134">
        <f t="shared" si="44"/>
        <v>0</v>
      </c>
      <c r="I117" s="134">
        <f t="shared" si="44"/>
        <v>0</v>
      </c>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5"/>
      <c r="DF117" s="205"/>
      <c r="DG117" s="205"/>
      <c r="DH117" s="205"/>
      <c r="DI117" s="205"/>
      <c r="DJ117" s="205"/>
      <c r="DK117" s="205"/>
      <c r="DL117" s="205"/>
      <c r="DM117" s="205"/>
      <c r="DN117" s="205"/>
      <c r="DO117" s="205"/>
      <c r="DP117" s="205"/>
      <c r="DQ117" s="205"/>
      <c r="DR117" s="205"/>
      <c r="DS117" s="205"/>
      <c r="DT117" s="205"/>
      <c r="DU117" s="205"/>
      <c r="DV117" s="205"/>
      <c r="DW117" s="205"/>
      <c r="DX117" s="205"/>
      <c r="DY117" s="205"/>
      <c r="DZ117" s="205"/>
      <c r="EA117" s="205"/>
      <c r="EB117" s="205"/>
      <c r="EC117" s="205"/>
      <c r="ED117" s="205"/>
      <c r="EE117" s="205"/>
      <c r="EF117" s="205"/>
      <c r="EG117" s="205"/>
      <c r="EH117" s="205"/>
      <c r="EI117" s="205"/>
      <c r="EJ117" s="205"/>
      <c r="EK117" s="205"/>
      <c r="EL117" s="205"/>
      <c r="EM117" s="205"/>
      <c r="EN117" s="205"/>
      <c r="EO117" s="205"/>
      <c r="EP117" s="205"/>
      <c r="EQ117" s="205"/>
      <c r="ER117" s="205"/>
      <c r="ES117" s="205"/>
      <c r="ET117" s="205"/>
      <c r="EU117" s="205"/>
      <c r="EV117" s="205"/>
      <c r="EW117" s="205"/>
      <c r="EX117" s="205"/>
      <c r="EY117" s="205"/>
      <c r="EZ117" s="205"/>
      <c r="FA117" s="205"/>
      <c r="FB117" s="205"/>
      <c r="FC117" s="205"/>
      <c r="FD117" s="205"/>
      <c r="FE117" s="205"/>
      <c r="FF117" s="205"/>
      <c r="FG117" s="205"/>
      <c r="FH117" s="205"/>
      <c r="FI117" s="205"/>
      <c r="FJ117" s="205"/>
      <c r="FK117" s="205"/>
      <c r="FL117" s="205"/>
      <c r="FM117" s="205"/>
      <c r="FN117" s="205"/>
      <c r="FO117" s="205"/>
      <c r="FP117" s="205"/>
      <c r="FQ117" s="205"/>
      <c r="FR117" s="205"/>
      <c r="FS117" s="205"/>
      <c r="FT117" s="205"/>
      <c r="FU117" s="205"/>
      <c r="FV117" s="205"/>
      <c r="FW117" s="205"/>
      <c r="FX117" s="205"/>
      <c r="FY117" s="205"/>
      <c r="FZ117" s="205"/>
      <c r="GA117" s="205"/>
      <c r="GB117" s="205"/>
      <c r="GC117" s="205"/>
      <c r="GD117" s="205"/>
      <c r="GE117" s="205"/>
      <c r="GF117" s="205"/>
      <c r="GG117" s="205"/>
      <c r="GH117" s="205"/>
      <c r="GI117" s="205"/>
      <c r="GJ117" s="205"/>
      <c r="GK117" s="205"/>
      <c r="GL117" s="205"/>
      <c r="GM117" s="205"/>
      <c r="GN117" s="205"/>
      <c r="GO117" s="205"/>
      <c r="GP117" s="205"/>
      <c r="GQ117" s="205"/>
      <c r="GR117" s="205"/>
      <c r="GS117" s="205"/>
      <c r="GT117" s="205"/>
      <c r="GU117" s="205"/>
      <c r="GV117" s="205"/>
      <c r="GW117" s="205"/>
      <c r="GX117" s="205"/>
      <c r="GY117" s="205"/>
      <c r="GZ117" s="205"/>
      <c r="HA117" s="205"/>
      <c r="HB117" s="205"/>
      <c r="HC117" s="205"/>
      <c r="HD117" s="205"/>
      <c r="HE117" s="205"/>
      <c r="HF117" s="205"/>
      <c r="HG117" s="205"/>
      <c r="HH117" s="205"/>
      <c r="HI117" s="205"/>
      <c r="HJ117" s="205"/>
      <c r="HK117" s="205"/>
      <c r="HL117" s="205"/>
      <c r="HM117" s="205"/>
      <c r="HN117" s="205"/>
      <c r="HO117" s="205"/>
      <c r="HP117" s="205"/>
      <c r="HQ117" s="205"/>
      <c r="HR117" s="205"/>
      <c r="HS117" s="205"/>
      <c r="HT117" s="205"/>
      <c r="HU117" s="205"/>
      <c r="HV117" s="205"/>
      <c r="HW117" s="205"/>
      <c r="HX117" s="205"/>
      <c r="HY117" s="205"/>
      <c r="HZ117" s="205"/>
      <c r="IA117" s="205"/>
      <c r="IB117" s="205"/>
      <c r="IC117" s="205"/>
      <c r="ID117" s="205"/>
      <c r="IE117" s="205"/>
      <c r="IF117" s="205"/>
      <c r="IG117" s="205"/>
      <c r="IH117" s="205"/>
      <c r="II117" s="205"/>
      <c r="IJ117" s="205"/>
      <c r="IK117" s="205"/>
      <c r="IL117" s="205"/>
      <c r="IM117" s="205"/>
      <c r="IN117" s="205"/>
      <c r="IO117" s="205"/>
      <c r="IP117" s="205"/>
      <c r="IQ117" s="205"/>
      <c r="IR117" s="205"/>
      <c r="IS117" s="205"/>
      <c r="IT117" s="205"/>
      <c r="IU117" s="205"/>
      <c r="IV117" s="205"/>
    </row>
    <row r="118" spans="1:256" customFormat="1" ht="15.95" customHeight="1">
      <c r="A118" s="210" t="s">
        <v>1414</v>
      </c>
      <c r="B118" s="134">
        <f t="shared" si="31"/>
        <v>4260</v>
      </c>
      <c r="C118" s="134">
        <v>2015</v>
      </c>
      <c r="D118" s="134">
        <f t="shared" si="32"/>
        <v>2245</v>
      </c>
      <c r="E118" s="134">
        <v>1000</v>
      </c>
      <c r="F118" s="134">
        <v>1245</v>
      </c>
      <c r="G118" s="134"/>
      <c r="H118" s="134"/>
      <c r="I118" s="134"/>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5"/>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5"/>
      <c r="DF118" s="205"/>
      <c r="DG118" s="205"/>
      <c r="DH118" s="205"/>
      <c r="DI118" s="205"/>
      <c r="DJ118" s="205"/>
      <c r="DK118" s="205"/>
      <c r="DL118" s="205"/>
      <c r="DM118" s="205"/>
      <c r="DN118" s="205"/>
      <c r="DO118" s="205"/>
      <c r="DP118" s="205"/>
      <c r="DQ118" s="205"/>
      <c r="DR118" s="205"/>
      <c r="DS118" s="205"/>
      <c r="DT118" s="205"/>
      <c r="DU118" s="205"/>
      <c r="DV118" s="205"/>
      <c r="DW118" s="205"/>
      <c r="DX118" s="205"/>
      <c r="DY118" s="205"/>
      <c r="DZ118" s="205"/>
      <c r="EA118" s="205"/>
      <c r="EB118" s="205"/>
      <c r="EC118" s="205"/>
      <c r="ED118" s="205"/>
      <c r="EE118" s="205"/>
      <c r="EF118" s="205"/>
      <c r="EG118" s="205"/>
      <c r="EH118" s="205"/>
      <c r="EI118" s="205"/>
      <c r="EJ118" s="205"/>
      <c r="EK118" s="205"/>
      <c r="EL118" s="205"/>
      <c r="EM118" s="205"/>
      <c r="EN118" s="205"/>
      <c r="EO118" s="205"/>
      <c r="EP118" s="205"/>
      <c r="EQ118" s="205"/>
      <c r="ER118" s="205"/>
      <c r="ES118" s="205"/>
      <c r="ET118" s="205"/>
      <c r="EU118" s="205"/>
      <c r="EV118" s="205"/>
      <c r="EW118" s="205"/>
      <c r="EX118" s="205"/>
      <c r="EY118" s="205"/>
      <c r="EZ118" s="205"/>
      <c r="FA118" s="205"/>
      <c r="FB118" s="205"/>
      <c r="FC118" s="205"/>
      <c r="FD118" s="205"/>
      <c r="FE118" s="205"/>
      <c r="FF118" s="205"/>
      <c r="FG118" s="205"/>
      <c r="FH118" s="205"/>
      <c r="FI118" s="205"/>
      <c r="FJ118" s="205"/>
      <c r="FK118" s="205"/>
      <c r="FL118" s="205"/>
      <c r="FM118" s="205"/>
      <c r="FN118" s="205"/>
      <c r="FO118" s="205"/>
      <c r="FP118" s="205"/>
      <c r="FQ118" s="205"/>
      <c r="FR118" s="205"/>
      <c r="FS118" s="205"/>
      <c r="FT118" s="205"/>
      <c r="FU118" s="205"/>
      <c r="FV118" s="205"/>
      <c r="FW118" s="205"/>
      <c r="FX118" s="205"/>
      <c r="FY118" s="205"/>
      <c r="FZ118" s="205"/>
      <c r="GA118" s="205"/>
      <c r="GB118" s="205"/>
      <c r="GC118" s="205"/>
      <c r="GD118" s="205"/>
      <c r="GE118" s="205"/>
      <c r="GF118" s="205"/>
      <c r="GG118" s="205"/>
      <c r="GH118" s="205"/>
      <c r="GI118" s="205"/>
      <c r="GJ118" s="205"/>
      <c r="GK118" s="205"/>
      <c r="GL118" s="205"/>
      <c r="GM118" s="205"/>
      <c r="GN118" s="205"/>
      <c r="GO118" s="205"/>
      <c r="GP118" s="205"/>
      <c r="GQ118" s="205"/>
      <c r="GR118" s="205"/>
      <c r="GS118" s="205"/>
      <c r="GT118" s="205"/>
      <c r="GU118" s="205"/>
      <c r="GV118" s="205"/>
      <c r="GW118" s="205"/>
      <c r="GX118" s="205"/>
      <c r="GY118" s="205"/>
      <c r="GZ118" s="205"/>
      <c r="HA118" s="205"/>
      <c r="HB118" s="205"/>
      <c r="HC118" s="205"/>
      <c r="HD118" s="205"/>
      <c r="HE118" s="205"/>
      <c r="HF118" s="205"/>
      <c r="HG118" s="205"/>
      <c r="HH118" s="205"/>
      <c r="HI118" s="205"/>
      <c r="HJ118" s="205"/>
      <c r="HK118" s="205"/>
      <c r="HL118" s="205"/>
      <c r="HM118" s="205"/>
      <c r="HN118" s="205"/>
      <c r="HO118" s="205"/>
      <c r="HP118" s="205"/>
      <c r="HQ118" s="205"/>
      <c r="HR118" s="205"/>
      <c r="HS118" s="205"/>
      <c r="HT118" s="205"/>
      <c r="HU118" s="205"/>
      <c r="HV118" s="205"/>
      <c r="HW118" s="205"/>
      <c r="HX118" s="205"/>
      <c r="HY118" s="205"/>
      <c r="HZ118" s="205"/>
      <c r="IA118" s="205"/>
      <c r="IB118" s="205"/>
      <c r="IC118" s="205"/>
      <c r="ID118" s="205"/>
      <c r="IE118" s="205"/>
      <c r="IF118" s="205"/>
      <c r="IG118" s="205"/>
      <c r="IH118" s="205"/>
      <c r="II118" s="205"/>
      <c r="IJ118" s="205"/>
      <c r="IK118" s="205"/>
      <c r="IL118" s="205"/>
      <c r="IM118" s="205"/>
      <c r="IN118" s="205"/>
      <c r="IO118" s="205"/>
      <c r="IP118" s="205"/>
      <c r="IQ118" s="205"/>
      <c r="IR118" s="205"/>
      <c r="IS118" s="205"/>
      <c r="IT118" s="205"/>
      <c r="IU118" s="205"/>
      <c r="IV118" s="205"/>
    </row>
    <row r="119" spans="1:256" customFormat="1" ht="15.95" customHeight="1">
      <c r="A119" s="209" t="s">
        <v>1415</v>
      </c>
      <c r="B119" s="134">
        <f t="shared" si="31"/>
        <v>4160</v>
      </c>
      <c r="C119" s="134">
        <f t="shared" ref="C119" si="45">SUM(C120:C123)</f>
        <v>1485</v>
      </c>
      <c r="D119" s="134">
        <f t="shared" si="32"/>
        <v>2675</v>
      </c>
      <c r="E119" s="134">
        <f t="shared" ref="E119:I119" si="46">SUM(E120:E123)</f>
        <v>1143</v>
      </c>
      <c r="F119" s="134">
        <f t="shared" si="46"/>
        <v>843</v>
      </c>
      <c r="G119" s="134">
        <f t="shared" si="46"/>
        <v>309</v>
      </c>
      <c r="H119" s="134">
        <f t="shared" si="46"/>
        <v>362</v>
      </c>
      <c r="I119" s="134">
        <f t="shared" si="46"/>
        <v>18</v>
      </c>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05"/>
      <c r="DK119" s="205"/>
      <c r="DL119" s="205"/>
      <c r="DM119" s="205"/>
      <c r="DN119" s="205"/>
      <c r="DO119" s="205"/>
      <c r="DP119" s="205"/>
      <c r="DQ119" s="205"/>
      <c r="DR119" s="205"/>
      <c r="DS119" s="205"/>
      <c r="DT119" s="205"/>
      <c r="DU119" s="205"/>
      <c r="DV119" s="205"/>
      <c r="DW119" s="205"/>
      <c r="DX119" s="205"/>
      <c r="DY119" s="205"/>
      <c r="DZ119" s="205"/>
      <c r="EA119" s="205"/>
      <c r="EB119" s="205"/>
      <c r="EC119" s="205"/>
      <c r="ED119" s="205"/>
      <c r="EE119" s="205"/>
      <c r="EF119" s="205"/>
      <c r="EG119" s="205"/>
      <c r="EH119" s="205"/>
      <c r="EI119" s="205"/>
      <c r="EJ119" s="205"/>
      <c r="EK119" s="205"/>
      <c r="EL119" s="205"/>
      <c r="EM119" s="205"/>
      <c r="EN119" s="205"/>
      <c r="EO119" s="205"/>
      <c r="EP119" s="205"/>
      <c r="EQ119" s="205"/>
      <c r="ER119" s="205"/>
      <c r="ES119" s="205"/>
      <c r="ET119" s="205"/>
      <c r="EU119" s="205"/>
      <c r="EV119" s="205"/>
      <c r="EW119" s="205"/>
      <c r="EX119" s="205"/>
      <c r="EY119" s="205"/>
      <c r="EZ119" s="205"/>
      <c r="FA119" s="205"/>
      <c r="FB119" s="205"/>
      <c r="FC119" s="205"/>
      <c r="FD119" s="205"/>
      <c r="FE119" s="205"/>
      <c r="FF119" s="205"/>
      <c r="FG119" s="205"/>
      <c r="FH119" s="205"/>
      <c r="FI119" s="205"/>
      <c r="FJ119" s="205"/>
      <c r="FK119" s="205"/>
      <c r="FL119" s="205"/>
      <c r="FM119" s="205"/>
      <c r="FN119" s="205"/>
      <c r="FO119" s="205"/>
      <c r="FP119" s="205"/>
      <c r="FQ119" s="205"/>
      <c r="FR119" s="205"/>
      <c r="FS119" s="205"/>
      <c r="FT119" s="205"/>
      <c r="FU119" s="205"/>
      <c r="FV119" s="205"/>
      <c r="FW119" s="205"/>
      <c r="FX119" s="205"/>
      <c r="FY119" s="205"/>
      <c r="FZ119" s="205"/>
      <c r="GA119" s="205"/>
      <c r="GB119" s="205"/>
      <c r="GC119" s="205"/>
      <c r="GD119" s="205"/>
      <c r="GE119" s="205"/>
      <c r="GF119" s="205"/>
      <c r="GG119" s="205"/>
      <c r="GH119" s="205"/>
      <c r="GI119" s="205"/>
      <c r="GJ119" s="205"/>
      <c r="GK119" s="205"/>
      <c r="GL119" s="205"/>
      <c r="GM119" s="205"/>
      <c r="GN119" s="205"/>
      <c r="GO119" s="205"/>
      <c r="GP119" s="205"/>
      <c r="GQ119" s="205"/>
      <c r="GR119" s="205"/>
      <c r="GS119" s="205"/>
      <c r="GT119" s="205"/>
      <c r="GU119" s="205"/>
      <c r="GV119" s="205"/>
      <c r="GW119" s="205"/>
      <c r="GX119" s="205"/>
      <c r="GY119" s="205"/>
      <c r="GZ119" s="205"/>
      <c r="HA119" s="205"/>
      <c r="HB119" s="205"/>
      <c r="HC119" s="205"/>
      <c r="HD119" s="205"/>
      <c r="HE119" s="205"/>
      <c r="HF119" s="205"/>
      <c r="HG119" s="205"/>
      <c r="HH119" s="205"/>
      <c r="HI119" s="205"/>
      <c r="HJ119" s="205"/>
      <c r="HK119" s="205"/>
      <c r="HL119" s="205"/>
      <c r="HM119" s="205"/>
      <c r="HN119" s="205"/>
      <c r="HO119" s="205"/>
      <c r="HP119" s="205"/>
      <c r="HQ119" s="205"/>
      <c r="HR119" s="205"/>
      <c r="HS119" s="205"/>
      <c r="HT119" s="205"/>
      <c r="HU119" s="205"/>
      <c r="HV119" s="205"/>
      <c r="HW119" s="205"/>
      <c r="HX119" s="205"/>
      <c r="HY119" s="205"/>
      <c r="HZ119" s="205"/>
      <c r="IA119" s="205"/>
      <c r="IB119" s="205"/>
      <c r="IC119" s="205"/>
      <c r="ID119" s="205"/>
      <c r="IE119" s="205"/>
      <c r="IF119" s="205"/>
      <c r="IG119" s="205"/>
      <c r="IH119" s="205"/>
      <c r="II119" s="205"/>
      <c r="IJ119" s="205"/>
      <c r="IK119" s="205"/>
      <c r="IL119" s="205"/>
      <c r="IM119" s="205"/>
      <c r="IN119" s="205"/>
      <c r="IO119" s="205"/>
      <c r="IP119" s="205"/>
      <c r="IQ119" s="205"/>
      <c r="IR119" s="205"/>
      <c r="IS119" s="205"/>
      <c r="IT119" s="205"/>
      <c r="IU119" s="205"/>
      <c r="IV119" s="205"/>
    </row>
    <row r="120" spans="1:256" customFormat="1" ht="15.95" customHeight="1">
      <c r="A120" s="210" t="s">
        <v>1416</v>
      </c>
      <c r="B120" s="134">
        <f t="shared" si="31"/>
        <v>260</v>
      </c>
      <c r="C120" s="134">
        <v>260</v>
      </c>
      <c r="D120" s="134">
        <f t="shared" si="32"/>
        <v>0</v>
      </c>
      <c r="E120" s="134"/>
      <c r="F120" s="134"/>
      <c r="G120" s="134"/>
      <c r="H120" s="134"/>
      <c r="I120" s="134"/>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05"/>
      <c r="DK120" s="205"/>
      <c r="DL120" s="205"/>
      <c r="DM120" s="205"/>
      <c r="DN120" s="205"/>
      <c r="DO120" s="205"/>
      <c r="DP120" s="205"/>
      <c r="DQ120" s="205"/>
      <c r="DR120" s="205"/>
      <c r="DS120" s="205"/>
      <c r="DT120" s="205"/>
      <c r="DU120" s="205"/>
      <c r="DV120" s="205"/>
      <c r="DW120" s="205"/>
      <c r="DX120" s="205"/>
      <c r="DY120" s="205"/>
      <c r="DZ120" s="205"/>
      <c r="EA120" s="205"/>
      <c r="EB120" s="205"/>
      <c r="EC120" s="205"/>
      <c r="ED120" s="205"/>
      <c r="EE120" s="205"/>
      <c r="EF120" s="205"/>
      <c r="EG120" s="205"/>
      <c r="EH120" s="205"/>
      <c r="EI120" s="205"/>
      <c r="EJ120" s="205"/>
      <c r="EK120" s="205"/>
      <c r="EL120" s="205"/>
      <c r="EM120" s="205"/>
      <c r="EN120" s="205"/>
      <c r="EO120" s="205"/>
      <c r="EP120" s="205"/>
      <c r="EQ120" s="205"/>
      <c r="ER120" s="205"/>
      <c r="ES120" s="205"/>
      <c r="ET120" s="205"/>
      <c r="EU120" s="205"/>
      <c r="EV120" s="205"/>
      <c r="EW120" s="205"/>
      <c r="EX120" s="205"/>
      <c r="EY120" s="205"/>
      <c r="EZ120" s="205"/>
      <c r="FA120" s="205"/>
      <c r="FB120" s="205"/>
      <c r="FC120" s="205"/>
      <c r="FD120" s="205"/>
      <c r="FE120" s="205"/>
      <c r="FF120" s="205"/>
      <c r="FG120" s="205"/>
      <c r="FH120" s="205"/>
      <c r="FI120" s="205"/>
      <c r="FJ120" s="205"/>
      <c r="FK120" s="205"/>
      <c r="FL120" s="205"/>
      <c r="FM120" s="205"/>
      <c r="FN120" s="205"/>
      <c r="FO120" s="205"/>
      <c r="FP120" s="205"/>
      <c r="FQ120" s="205"/>
      <c r="FR120" s="205"/>
      <c r="FS120" s="205"/>
      <c r="FT120" s="205"/>
      <c r="FU120" s="205"/>
      <c r="FV120" s="205"/>
      <c r="FW120" s="205"/>
      <c r="FX120" s="205"/>
      <c r="FY120" s="205"/>
      <c r="FZ120" s="205"/>
      <c r="GA120" s="205"/>
      <c r="GB120" s="205"/>
      <c r="GC120" s="205"/>
      <c r="GD120" s="205"/>
      <c r="GE120" s="205"/>
      <c r="GF120" s="205"/>
      <c r="GG120" s="205"/>
      <c r="GH120" s="205"/>
      <c r="GI120" s="205"/>
      <c r="GJ120" s="205"/>
      <c r="GK120" s="205"/>
      <c r="GL120" s="205"/>
      <c r="GM120" s="205"/>
      <c r="GN120" s="205"/>
      <c r="GO120" s="205"/>
      <c r="GP120" s="205"/>
      <c r="GQ120" s="205"/>
      <c r="GR120" s="205"/>
      <c r="GS120" s="205"/>
      <c r="GT120" s="205"/>
      <c r="GU120" s="205"/>
      <c r="GV120" s="205"/>
      <c r="GW120" s="205"/>
      <c r="GX120" s="205"/>
      <c r="GY120" s="205"/>
      <c r="GZ120" s="205"/>
      <c r="HA120" s="205"/>
      <c r="HB120" s="205"/>
      <c r="HC120" s="205"/>
      <c r="HD120" s="205"/>
      <c r="HE120" s="205"/>
      <c r="HF120" s="205"/>
      <c r="HG120" s="205"/>
      <c r="HH120" s="205"/>
      <c r="HI120" s="205"/>
      <c r="HJ120" s="205"/>
      <c r="HK120" s="205"/>
      <c r="HL120" s="205"/>
      <c r="HM120" s="205"/>
      <c r="HN120" s="205"/>
      <c r="HO120" s="205"/>
      <c r="HP120" s="205"/>
      <c r="HQ120" s="205"/>
      <c r="HR120" s="205"/>
      <c r="HS120" s="205"/>
      <c r="HT120" s="205"/>
      <c r="HU120" s="205"/>
      <c r="HV120" s="205"/>
      <c r="HW120" s="205"/>
      <c r="HX120" s="205"/>
      <c r="HY120" s="205"/>
      <c r="HZ120" s="205"/>
      <c r="IA120" s="205"/>
      <c r="IB120" s="205"/>
      <c r="IC120" s="205"/>
      <c r="ID120" s="205"/>
      <c r="IE120" s="205"/>
      <c r="IF120" s="205"/>
      <c r="IG120" s="205"/>
      <c r="IH120" s="205"/>
      <c r="II120" s="205"/>
      <c r="IJ120" s="205"/>
      <c r="IK120" s="205"/>
      <c r="IL120" s="205"/>
      <c r="IM120" s="205"/>
      <c r="IN120" s="205"/>
      <c r="IO120" s="205"/>
      <c r="IP120" s="205"/>
      <c r="IQ120" s="205"/>
      <c r="IR120" s="205"/>
      <c r="IS120" s="205"/>
      <c r="IT120" s="205"/>
      <c r="IU120" s="205"/>
      <c r="IV120" s="205"/>
    </row>
    <row r="121" spans="1:256" customFormat="1" ht="15.95" customHeight="1">
      <c r="A121" s="210" t="s">
        <v>1417</v>
      </c>
      <c r="B121" s="134">
        <f t="shared" si="31"/>
        <v>660</v>
      </c>
      <c r="C121" s="134"/>
      <c r="D121" s="134">
        <f t="shared" si="32"/>
        <v>660</v>
      </c>
      <c r="E121" s="134">
        <v>226</v>
      </c>
      <c r="F121" s="134">
        <v>182</v>
      </c>
      <c r="G121" s="134">
        <v>100</v>
      </c>
      <c r="H121" s="134">
        <v>138</v>
      </c>
      <c r="I121" s="134">
        <v>14</v>
      </c>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05"/>
      <c r="DK121" s="205"/>
      <c r="DL121" s="205"/>
      <c r="DM121" s="205"/>
      <c r="DN121" s="205"/>
      <c r="DO121" s="205"/>
      <c r="DP121" s="205"/>
      <c r="DQ121" s="205"/>
      <c r="DR121" s="205"/>
      <c r="DS121" s="205"/>
      <c r="DT121" s="205"/>
      <c r="DU121" s="205"/>
      <c r="DV121" s="205"/>
      <c r="DW121" s="205"/>
      <c r="DX121" s="205"/>
      <c r="DY121" s="205"/>
      <c r="DZ121" s="205"/>
      <c r="EA121" s="205"/>
      <c r="EB121" s="205"/>
      <c r="EC121" s="205"/>
      <c r="ED121" s="205"/>
      <c r="EE121" s="205"/>
      <c r="EF121" s="205"/>
      <c r="EG121" s="205"/>
      <c r="EH121" s="205"/>
      <c r="EI121" s="205"/>
      <c r="EJ121" s="205"/>
      <c r="EK121" s="205"/>
      <c r="EL121" s="205"/>
      <c r="EM121" s="205"/>
      <c r="EN121" s="205"/>
      <c r="EO121" s="205"/>
      <c r="EP121" s="205"/>
      <c r="EQ121" s="205"/>
      <c r="ER121" s="205"/>
      <c r="ES121" s="205"/>
      <c r="ET121" s="205"/>
      <c r="EU121" s="205"/>
      <c r="EV121" s="205"/>
      <c r="EW121" s="205"/>
      <c r="EX121" s="205"/>
      <c r="EY121" s="205"/>
      <c r="EZ121" s="205"/>
      <c r="FA121" s="205"/>
      <c r="FB121" s="205"/>
      <c r="FC121" s="205"/>
      <c r="FD121" s="205"/>
      <c r="FE121" s="205"/>
      <c r="FF121" s="205"/>
      <c r="FG121" s="205"/>
      <c r="FH121" s="205"/>
      <c r="FI121" s="205"/>
      <c r="FJ121" s="205"/>
      <c r="FK121" s="205"/>
      <c r="FL121" s="205"/>
      <c r="FM121" s="205"/>
      <c r="FN121" s="205"/>
      <c r="FO121" s="205"/>
      <c r="FP121" s="205"/>
      <c r="FQ121" s="205"/>
      <c r="FR121" s="205"/>
      <c r="FS121" s="205"/>
      <c r="FT121" s="205"/>
      <c r="FU121" s="205"/>
      <c r="FV121" s="205"/>
      <c r="FW121" s="205"/>
      <c r="FX121" s="205"/>
      <c r="FY121" s="205"/>
      <c r="FZ121" s="205"/>
      <c r="GA121" s="205"/>
      <c r="GB121" s="205"/>
      <c r="GC121" s="205"/>
      <c r="GD121" s="205"/>
      <c r="GE121" s="205"/>
      <c r="GF121" s="205"/>
      <c r="GG121" s="205"/>
      <c r="GH121" s="205"/>
      <c r="GI121" s="205"/>
      <c r="GJ121" s="205"/>
      <c r="GK121" s="205"/>
      <c r="GL121" s="205"/>
      <c r="GM121" s="205"/>
      <c r="GN121" s="205"/>
      <c r="GO121" s="205"/>
      <c r="GP121" s="205"/>
      <c r="GQ121" s="205"/>
      <c r="GR121" s="205"/>
      <c r="GS121" s="205"/>
      <c r="GT121" s="205"/>
      <c r="GU121" s="205"/>
      <c r="GV121" s="205"/>
      <c r="GW121" s="205"/>
      <c r="GX121" s="205"/>
      <c r="GY121" s="205"/>
      <c r="GZ121" s="205"/>
      <c r="HA121" s="205"/>
      <c r="HB121" s="205"/>
      <c r="HC121" s="205"/>
      <c r="HD121" s="205"/>
      <c r="HE121" s="205"/>
      <c r="HF121" s="205"/>
      <c r="HG121" s="205"/>
      <c r="HH121" s="205"/>
      <c r="HI121" s="205"/>
      <c r="HJ121" s="205"/>
      <c r="HK121" s="205"/>
      <c r="HL121" s="205"/>
      <c r="HM121" s="205"/>
      <c r="HN121" s="205"/>
      <c r="HO121" s="205"/>
      <c r="HP121" s="205"/>
      <c r="HQ121" s="205"/>
      <c r="HR121" s="205"/>
      <c r="HS121" s="205"/>
      <c r="HT121" s="205"/>
      <c r="HU121" s="205"/>
      <c r="HV121" s="205"/>
      <c r="HW121" s="205"/>
      <c r="HX121" s="205"/>
      <c r="HY121" s="205"/>
      <c r="HZ121" s="205"/>
      <c r="IA121" s="205"/>
      <c r="IB121" s="205"/>
      <c r="IC121" s="205"/>
      <c r="ID121" s="205"/>
      <c r="IE121" s="205"/>
      <c r="IF121" s="205"/>
      <c r="IG121" s="205"/>
      <c r="IH121" s="205"/>
      <c r="II121" s="205"/>
      <c r="IJ121" s="205"/>
      <c r="IK121" s="205"/>
      <c r="IL121" s="205"/>
      <c r="IM121" s="205"/>
      <c r="IN121" s="205"/>
      <c r="IO121" s="205"/>
      <c r="IP121" s="205"/>
      <c r="IQ121" s="205"/>
      <c r="IR121" s="205"/>
      <c r="IS121" s="205"/>
      <c r="IT121" s="205"/>
      <c r="IU121" s="205"/>
      <c r="IV121" s="205"/>
    </row>
    <row r="122" spans="1:256" customFormat="1" ht="15.95" customHeight="1">
      <c r="A122" s="210" t="s">
        <v>1418</v>
      </c>
      <c r="B122" s="134">
        <f t="shared" si="31"/>
        <v>2960</v>
      </c>
      <c r="C122" s="134">
        <v>1108</v>
      </c>
      <c r="D122" s="134">
        <f t="shared" si="32"/>
        <v>1852</v>
      </c>
      <c r="E122" s="134">
        <v>874</v>
      </c>
      <c r="F122" s="134">
        <v>613</v>
      </c>
      <c r="G122" s="134">
        <v>184</v>
      </c>
      <c r="H122" s="134">
        <v>180</v>
      </c>
      <c r="I122" s="134">
        <v>1</v>
      </c>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05"/>
      <c r="DK122" s="205"/>
      <c r="DL122" s="205"/>
      <c r="DM122" s="205"/>
      <c r="DN122" s="205"/>
      <c r="DO122" s="205"/>
      <c r="DP122" s="205"/>
      <c r="DQ122" s="205"/>
      <c r="DR122" s="205"/>
      <c r="DS122" s="205"/>
      <c r="DT122" s="205"/>
      <c r="DU122" s="205"/>
      <c r="DV122" s="205"/>
      <c r="DW122" s="205"/>
      <c r="DX122" s="205"/>
      <c r="DY122" s="205"/>
      <c r="DZ122" s="205"/>
      <c r="EA122" s="205"/>
      <c r="EB122" s="205"/>
      <c r="EC122" s="205"/>
      <c r="ED122" s="205"/>
      <c r="EE122" s="205"/>
      <c r="EF122" s="205"/>
      <c r="EG122" s="205"/>
      <c r="EH122" s="205"/>
      <c r="EI122" s="205"/>
      <c r="EJ122" s="205"/>
      <c r="EK122" s="205"/>
      <c r="EL122" s="205"/>
      <c r="EM122" s="205"/>
      <c r="EN122" s="205"/>
      <c r="EO122" s="205"/>
      <c r="EP122" s="205"/>
      <c r="EQ122" s="205"/>
      <c r="ER122" s="205"/>
      <c r="ES122" s="205"/>
      <c r="ET122" s="205"/>
      <c r="EU122" s="205"/>
      <c r="EV122" s="205"/>
      <c r="EW122" s="205"/>
      <c r="EX122" s="205"/>
      <c r="EY122" s="205"/>
      <c r="EZ122" s="205"/>
      <c r="FA122" s="205"/>
      <c r="FB122" s="205"/>
      <c r="FC122" s="205"/>
      <c r="FD122" s="205"/>
      <c r="FE122" s="205"/>
      <c r="FF122" s="205"/>
      <c r="FG122" s="205"/>
      <c r="FH122" s="205"/>
      <c r="FI122" s="205"/>
      <c r="FJ122" s="205"/>
      <c r="FK122" s="205"/>
      <c r="FL122" s="205"/>
      <c r="FM122" s="205"/>
      <c r="FN122" s="205"/>
      <c r="FO122" s="205"/>
      <c r="FP122" s="205"/>
      <c r="FQ122" s="205"/>
      <c r="FR122" s="205"/>
      <c r="FS122" s="205"/>
      <c r="FT122" s="205"/>
      <c r="FU122" s="205"/>
      <c r="FV122" s="205"/>
      <c r="FW122" s="205"/>
      <c r="FX122" s="205"/>
      <c r="FY122" s="205"/>
      <c r="FZ122" s="205"/>
      <c r="GA122" s="205"/>
      <c r="GB122" s="205"/>
      <c r="GC122" s="205"/>
      <c r="GD122" s="205"/>
      <c r="GE122" s="205"/>
      <c r="GF122" s="205"/>
      <c r="GG122" s="205"/>
      <c r="GH122" s="205"/>
      <c r="GI122" s="205"/>
      <c r="GJ122" s="205"/>
      <c r="GK122" s="205"/>
      <c r="GL122" s="205"/>
      <c r="GM122" s="205"/>
      <c r="GN122" s="205"/>
      <c r="GO122" s="205"/>
      <c r="GP122" s="205"/>
      <c r="GQ122" s="205"/>
      <c r="GR122" s="205"/>
      <c r="GS122" s="205"/>
      <c r="GT122" s="205"/>
      <c r="GU122" s="205"/>
      <c r="GV122" s="205"/>
      <c r="GW122" s="205"/>
      <c r="GX122" s="205"/>
      <c r="GY122" s="205"/>
      <c r="GZ122" s="205"/>
      <c r="HA122" s="205"/>
      <c r="HB122" s="205"/>
      <c r="HC122" s="205"/>
      <c r="HD122" s="205"/>
      <c r="HE122" s="205"/>
      <c r="HF122" s="205"/>
      <c r="HG122" s="205"/>
      <c r="HH122" s="205"/>
      <c r="HI122" s="205"/>
      <c r="HJ122" s="205"/>
      <c r="HK122" s="205"/>
      <c r="HL122" s="205"/>
      <c r="HM122" s="205"/>
      <c r="HN122" s="205"/>
      <c r="HO122" s="205"/>
      <c r="HP122" s="205"/>
      <c r="HQ122" s="205"/>
      <c r="HR122" s="205"/>
      <c r="HS122" s="205"/>
      <c r="HT122" s="205"/>
      <c r="HU122" s="205"/>
      <c r="HV122" s="205"/>
      <c r="HW122" s="205"/>
      <c r="HX122" s="205"/>
      <c r="HY122" s="205"/>
      <c r="HZ122" s="205"/>
      <c r="IA122" s="205"/>
      <c r="IB122" s="205"/>
      <c r="IC122" s="205"/>
      <c r="ID122" s="205"/>
      <c r="IE122" s="205"/>
      <c r="IF122" s="205"/>
      <c r="IG122" s="205"/>
      <c r="IH122" s="205"/>
      <c r="II122" s="205"/>
      <c r="IJ122" s="205"/>
      <c r="IK122" s="205"/>
      <c r="IL122" s="205"/>
      <c r="IM122" s="205"/>
      <c r="IN122" s="205"/>
      <c r="IO122" s="205"/>
      <c r="IP122" s="205"/>
      <c r="IQ122" s="205"/>
      <c r="IR122" s="205"/>
      <c r="IS122" s="205"/>
      <c r="IT122" s="205"/>
      <c r="IU122" s="205"/>
      <c r="IV122" s="205"/>
    </row>
    <row r="123" spans="1:256" customFormat="1" ht="15.95" customHeight="1">
      <c r="A123" s="210" t="s">
        <v>1419</v>
      </c>
      <c r="B123" s="134">
        <f t="shared" si="31"/>
        <v>280</v>
      </c>
      <c r="C123" s="134">
        <v>117</v>
      </c>
      <c r="D123" s="134">
        <f t="shared" si="32"/>
        <v>163</v>
      </c>
      <c r="E123" s="134">
        <v>43</v>
      </c>
      <c r="F123" s="134">
        <v>48</v>
      </c>
      <c r="G123" s="134">
        <v>25</v>
      </c>
      <c r="H123" s="134">
        <v>44</v>
      </c>
      <c r="I123" s="134">
        <v>3</v>
      </c>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05"/>
      <c r="DK123" s="205"/>
      <c r="DL123" s="205"/>
      <c r="DM123" s="205"/>
      <c r="DN123" s="205"/>
      <c r="DO123" s="205"/>
      <c r="DP123" s="205"/>
      <c r="DQ123" s="205"/>
      <c r="DR123" s="205"/>
      <c r="DS123" s="205"/>
      <c r="DT123" s="205"/>
      <c r="DU123" s="205"/>
      <c r="DV123" s="205"/>
      <c r="DW123" s="205"/>
      <c r="DX123" s="205"/>
      <c r="DY123" s="205"/>
      <c r="DZ123" s="205"/>
      <c r="EA123" s="205"/>
      <c r="EB123" s="205"/>
      <c r="EC123" s="205"/>
      <c r="ED123" s="205"/>
      <c r="EE123" s="205"/>
      <c r="EF123" s="205"/>
      <c r="EG123" s="205"/>
      <c r="EH123" s="205"/>
      <c r="EI123" s="205"/>
      <c r="EJ123" s="205"/>
      <c r="EK123" s="205"/>
      <c r="EL123" s="205"/>
      <c r="EM123" s="205"/>
      <c r="EN123" s="205"/>
      <c r="EO123" s="205"/>
      <c r="EP123" s="205"/>
      <c r="EQ123" s="205"/>
      <c r="ER123" s="205"/>
      <c r="ES123" s="205"/>
      <c r="ET123" s="205"/>
      <c r="EU123" s="205"/>
      <c r="EV123" s="205"/>
      <c r="EW123" s="205"/>
      <c r="EX123" s="205"/>
      <c r="EY123" s="205"/>
      <c r="EZ123" s="205"/>
      <c r="FA123" s="205"/>
      <c r="FB123" s="205"/>
      <c r="FC123" s="205"/>
      <c r="FD123" s="205"/>
      <c r="FE123" s="205"/>
      <c r="FF123" s="205"/>
      <c r="FG123" s="205"/>
      <c r="FH123" s="205"/>
      <c r="FI123" s="205"/>
      <c r="FJ123" s="205"/>
      <c r="FK123" s="205"/>
      <c r="FL123" s="205"/>
      <c r="FM123" s="205"/>
      <c r="FN123" s="205"/>
      <c r="FO123" s="205"/>
      <c r="FP123" s="205"/>
      <c r="FQ123" s="205"/>
      <c r="FR123" s="205"/>
      <c r="FS123" s="205"/>
      <c r="FT123" s="205"/>
      <c r="FU123" s="205"/>
      <c r="FV123" s="205"/>
      <c r="FW123" s="205"/>
      <c r="FX123" s="205"/>
      <c r="FY123" s="205"/>
      <c r="FZ123" s="205"/>
      <c r="GA123" s="205"/>
      <c r="GB123" s="205"/>
      <c r="GC123" s="205"/>
      <c r="GD123" s="205"/>
      <c r="GE123" s="205"/>
      <c r="GF123" s="205"/>
      <c r="GG123" s="205"/>
      <c r="GH123" s="205"/>
      <c r="GI123" s="205"/>
      <c r="GJ123" s="205"/>
      <c r="GK123" s="205"/>
      <c r="GL123" s="205"/>
      <c r="GM123" s="205"/>
      <c r="GN123" s="205"/>
      <c r="GO123" s="205"/>
      <c r="GP123" s="205"/>
      <c r="GQ123" s="205"/>
      <c r="GR123" s="205"/>
      <c r="GS123" s="205"/>
      <c r="GT123" s="205"/>
      <c r="GU123" s="205"/>
      <c r="GV123" s="205"/>
      <c r="GW123" s="205"/>
      <c r="GX123" s="205"/>
      <c r="GY123" s="205"/>
      <c r="GZ123" s="205"/>
      <c r="HA123" s="205"/>
      <c r="HB123" s="205"/>
      <c r="HC123" s="205"/>
      <c r="HD123" s="205"/>
      <c r="HE123" s="205"/>
      <c r="HF123" s="205"/>
      <c r="HG123" s="205"/>
      <c r="HH123" s="205"/>
      <c r="HI123" s="205"/>
      <c r="HJ123" s="205"/>
      <c r="HK123" s="205"/>
      <c r="HL123" s="205"/>
      <c r="HM123" s="205"/>
      <c r="HN123" s="205"/>
      <c r="HO123" s="205"/>
      <c r="HP123" s="205"/>
      <c r="HQ123" s="205"/>
      <c r="HR123" s="205"/>
      <c r="HS123" s="205"/>
      <c r="HT123" s="205"/>
      <c r="HU123" s="205"/>
      <c r="HV123" s="205"/>
      <c r="HW123" s="205"/>
      <c r="HX123" s="205"/>
      <c r="HY123" s="205"/>
      <c r="HZ123" s="205"/>
      <c r="IA123" s="205"/>
      <c r="IB123" s="205"/>
      <c r="IC123" s="205"/>
      <c r="ID123" s="205"/>
      <c r="IE123" s="205"/>
      <c r="IF123" s="205"/>
      <c r="IG123" s="205"/>
      <c r="IH123" s="205"/>
      <c r="II123" s="205"/>
      <c r="IJ123" s="205"/>
      <c r="IK123" s="205"/>
      <c r="IL123" s="205"/>
      <c r="IM123" s="205"/>
      <c r="IN123" s="205"/>
      <c r="IO123" s="205"/>
      <c r="IP123" s="205"/>
      <c r="IQ123" s="205"/>
      <c r="IR123" s="205"/>
      <c r="IS123" s="205"/>
      <c r="IT123" s="205"/>
      <c r="IU123" s="205"/>
      <c r="IV123" s="205"/>
    </row>
    <row r="124" spans="1:256" customFormat="1" ht="15.95" customHeight="1">
      <c r="A124" s="209" t="s">
        <v>1420</v>
      </c>
      <c r="B124" s="134">
        <f t="shared" si="31"/>
        <v>6421</v>
      </c>
      <c r="C124" s="134">
        <f t="shared" ref="C124" si="47">SUM(C125)</f>
        <v>2273</v>
      </c>
      <c r="D124" s="134">
        <f t="shared" si="32"/>
        <v>4148</v>
      </c>
      <c r="E124" s="134">
        <f t="shared" ref="E124:I124" si="48">SUM(E125)</f>
        <v>770</v>
      </c>
      <c r="F124" s="134">
        <f t="shared" si="48"/>
        <v>149</v>
      </c>
      <c r="G124" s="134">
        <f t="shared" si="48"/>
        <v>1455</v>
      </c>
      <c r="H124" s="134">
        <f t="shared" si="48"/>
        <v>1580</v>
      </c>
      <c r="I124" s="134">
        <f t="shared" si="48"/>
        <v>194</v>
      </c>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05"/>
      <c r="DK124" s="205"/>
      <c r="DL124" s="205"/>
      <c r="DM124" s="205"/>
      <c r="DN124" s="205"/>
      <c r="DO124" s="205"/>
      <c r="DP124" s="205"/>
      <c r="DQ124" s="205"/>
      <c r="DR124" s="205"/>
      <c r="DS124" s="205"/>
      <c r="DT124" s="205"/>
      <c r="DU124" s="205"/>
      <c r="DV124" s="205"/>
      <c r="DW124" s="205"/>
      <c r="DX124" s="205"/>
      <c r="DY124" s="205"/>
      <c r="DZ124" s="205"/>
      <c r="EA124" s="205"/>
      <c r="EB124" s="205"/>
      <c r="EC124" s="205"/>
      <c r="ED124" s="205"/>
      <c r="EE124" s="205"/>
      <c r="EF124" s="205"/>
      <c r="EG124" s="205"/>
      <c r="EH124" s="205"/>
      <c r="EI124" s="205"/>
      <c r="EJ124" s="205"/>
      <c r="EK124" s="205"/>
      <c r="EL124" s="205"/>
      <c r="EM124" s="205"/>
      <c r="EN124" s="205"/>
      <c r="EO124" s="205"/>
      <c r="EP124" s="205"/>
      <c r="EQ124" s="205"/>
      <c r="ER124" s="205"/>
      <c r="ES124" s="205"/>
      <c r="ET124" s="205"/>
      <c r="EU124" s="205"/>
      <c r="EV124" s="205"/>
      <c r="EW124" s="205"/>
      <c r="EX124" s="205"/>
      <c r="EY124" s="205"/>
      <c r="EZ124" s="205"/>
      <c r="FA124" s="205"/>
      <c r="FB124" s="205"/>
      <c r="FC124" s="205"/>
      <c r="FD124" s="205"/>
      <c r="FE124" s="205"/>
      <c r="FF124" s="205"/>
      <c r="FG124" s="205"/>
      <c r="FH124" s="205"/>
      <c r="FI124" s="205"/>
      <c r="FJ124" s="205"/>
      <c r="FK124" s="205"/>
      <c r="FL124" s="205"/>
      <c r="FM124" s="205"/>
      <c r="FN124" s="205"/>
      <c r="FO124" s="205"/>
      <c r="FP124" s="205"/>
      <c r="FQ124" s="205"/>
      <c r="FR124" s="205"/>
      <c r="FS124" s="205"/>
      <c r="FT124" s="205"/>
      <c r="FU124" s="205"/>
      <c r="FV124" s="205"/>
      <c r="FW124" s="205"/>
      <c r="FX124" s="205"/>
      <c r="FY124" s="205"/>
      <c r="FZ124" s="205"/>
      <c r="GA124" s="205"/>
      <c r="GB124" s="205"/>
      <c r="GC124" s="205"/>
      <c r="GD124" s="205"/>
      <c r="GE124" s="205"/>
      <c r="GF124" s="205"/>
      <c r="GG124" s="205"/>
      <c r="GH124" s="205"/>
      <c r="GI124" s="205"/>
      <c r="GJ124" s="205"/>
      <c r="GK124" s="205"/>
      <c r="GL124" s="205"/>
      <c r="GM124" s="205"/>
      <c r="GN124" s="205"/>
      <c r="GO124" s="205"/>
      <c r="GP124" s="205"/>
      <c r="GQ124" s="205"/>
      <c r="GR124" s="205"/>
      <c r="GS124" s="205"/>
      <c r="GT124" s="205"/>
      <c r="GU124" s="205"/>
      <c r="GV124" s="205"/>
      <c r="GW124" s="205"/>
      <c r="GX124" s="205"/>
      <c r="GY124" s="205"/>
      <c r="GZ124" s="205"/>
      <c r="HA124" s="205"/>
      <c r="HB124" s="205"/>
      <c r="HC124" s="205"/>
      <c r="HD124" s="205"/>
      <c r="HE124" s="205"/>
      <c r="HF124" s="205"/>
      <c r="HG124" s="205"/>
      <c r="HH124" s="205"/>
      <c r="HI124" s="205"/>
      <c r="HJ124" s="205"/>
      <c r="HK124" s="205"/>
      <c r="HL124" s="205"/>
      <c r="HM124" s="205"/>
      <c r="HN124" s="205"/>
      <c r="HO124" s="205"/>
      <c r="HP124" s="205"/>
      <c r="HQ124" s="205"/>
      <c r="HR124" s="205"/>
      <c r="HS124" s="205"/>
      <c r="HT124" s="205"/>
      <c r="HU124" s="205"/>
      <c r="HV124" s="205"/>
      <c r="HW124" s="205"/>
      <c r="HX124" s="205"/>
      <c r="HY124" s="205"/>
      <c r="HZ124" s="205"/>
      <c r="IA124" s="205"/>
      <c r="IB124" s="205"/>
      <c r="IC124" s="205"/>
      <c r="ID124" s="205"/>
      <c r="IE124" s="205"/>
      <c r="IF124" s="205"/>
      <c r="IG124" s="205"/>
      <c r="IH124" s="205"/>
      <c r="II124" s="205"/>
      <c r="IJ124" s="205"/>
      <c r="IK124" s="205"/>
      <c r="IL124" s="205"/>
      <c r="IM124" s="205"/>
      <c r="IN124" s="205"/>
      <c r="IO124" s="205"/>
      <c r="IP124" s="205"/>
      <c r="IQ124" s="205"/>
      <c r="IR124" s="205"/>
      <c r="IS124" s="205"/>
      <c r="IT124" s="205"/>
      <c r="IU124" s="205"/>
      <c r="IV124" s="205"/>
    </row>
    <row r="125" spans="1:256" customFormat="1" ht="15.95" customHeight="1">
      <c r="A125" s="210" t="s">
        <v>1212</v>
      </c>
      <c r="B125" s="134">
        <f t="shared" si="31"/>
        <v>6421</v>
      </c>
      <c r="C125" s="134">
        <v>2273</v>
      </c>
      <c r="D125" s="134">
        <f t="shared" si="32"/>
        <v>4148</v>
      </c>
      <c r="E125" s="134">
        <v>770</v>
      </c>
      <c r="F125" s="134">
        <f>107+42</f>
        <v>149</v>
      </c>
      <c r="G125" s="134">
        <v>1455</v>
      </c>
      <c r="H125" s="134">
        <v>1580</v>
      </c>
      <c r="I125" s="134">
        <v>194</v>
      </c>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05"/>
      <c r="DK125" s="205"/>
      <c r="DL125" s="205"/>
      <c r="DM125" s="205"/>
      <c r="DN125" s="205"/>
      <c r="DO125" s="205"/>
      <c r="DP125" s="205"/>
      <c r="DQ125" s="205"/>
      <c r="DR125" s="205"/>
      <c r="DS125" s="205"/>
      <c r="DT125" s="205"/>
      <c r="DU125" s="205"/>
      <c r="DV125" s="205"/>
      <c r="DW125" s="205"/>
      <c r="DX125" s="205"/>
      <c r="DY125" s="205"/>
      <c r="DZ125" s="205"/>
      <c r="EA125" s="205"/>
      <c r="EB125" s="205"/>
      <c r="EC125" s="205"/>
      <c r="ED125" s="205"/>
      <c r="EE125" s="205"/>
      <c r="EF125" s="205"/>
      <c r="EG125" s="205"/>
      <c r="EH125" s="205"/>
      <c r="EI125" s="205"/>
      <c r="EJ125" s="205"/>
      <c r="EK125" s="205"/>
      <c r="EL125" s="205"/>
      <c r="EM125" s="205"/>
      <c r="EN125" s="205"/>
      <c r="EO125" s="205"/>
      <c r="EP125" s="205"/>
      <c r="EQ125" s="205"/>
      <c r="ER125" s="205"/>
      <c r="ES125" s="205"/>
      <c r="ET125" s="205"/>
      <c r="EU125" s="205"/>
      <c r="EV125" s="205"/>
      <c r="EW125" s="205"/>
      <c r="EX125" s="205"/>
      <c r="EY125" s="205"/>
      <c r="EZ125" s="205"/>
      <c r="FA125" s="205"/>
      <c r="FB125" s="205"/>
      <c r="FC125" s="205"/>
      <c r="FD125" s="205"/>
      <c r="FE125" s="205"/>
      <c r="FF125" s="205"/>
      <c r="FG125" s="205"/>
      <c r="FH125" s="205"/>
      <c r="FI125" s="205"/>
      <c r="FJ125" s="205"/>
      <c r="FK125" s="205"/>
      <c r="FL125" s="205"/>
      <c r="FM125" s="205"/>
      <c r="FN125" s="205"/>
      <c r="FO125" s="205"/>
      <c r="FP125" s="205"/>
      <c r="FQ125" s="205"/>
      <c r="FR125" s="205"/>
      <c r="FS125" s="205"/>
      <c r="FT125" s="205"/>
      <c r="FU125" s="205"/>
      <c r="FV125" s="205"/>
      <c r="FW125" s="205"/>
      <c r="FX125" s="205"/>
      <c r="FY125" s="205"/>
      <c r="FZ125" s="205"/>
      <c r="GA125" s="205"/>
      <c r="GB125" s="205"/>
      <c r="GC125" s="205"/>
      <c r="GD125" s="205"/>
      <c r="GE125" s="205"/>
      <c r="GF125" s="205"/>
      <c r="GG125" s="205"/>
      <c r="GH125" s="205"/>
      <c r="GI125" s="205"/>
      <c r="GJ125" s="205"/>
      <c r="GK125" s="205"/>
      <c r="GL125" s="205"/>
      <c r="GM125" s="205"/>
      <c r="GN125" s="205"/>
      <c r="GO125" s="205"/>
      <c r="GP125" s="205"/>
      <c r="GQ125" s="205"/>
      <c r="GR125" s="205"/>
      <c r="GS125" s="205"/>
      <c r="GT125" s="205"/>
      <c r="GU125" s="205"/>
      <c r="GV125" s="205"/>
      <c r="GW125" s="205"/>
      <c r="GX125" s="205"/>
      <c r="GY125" s="205"/>
      <c r="GZ125" s="205"/>
      <c r="HA125" s="205"/>
      <c r="HB125" s="205"/>
      <c r="HC125" s="205"/>
      <c r="HD125" s="205"/>
      <c r="HE125" s="205"/>
      <c r="HF125" s="205"/>
      <c r="HG125" s="205"/>
      <c r="HH125" s="205"/>
      <c r="HI125" s="205"/>
      <c r="HJ125" s="205"/>
      <c r="HK125" s="205"/>
      <c r="HL125" s="205"/>
      <c r="HM125" s="205"/>
      <c r="HN125" s="205"/>
      <c r="HO125" s="205"/>
      <c r="HP125" s="205"/>
      <c r="HQ125" s="205"/>
      <c r="HR125" s="205"/>
      <c r="HS125" s="205"/>
      <c r="HT125" s="205"/>
      <c r="HU125" s="205"/>
      <c r="HV125" s="205"/>
      <c r="HW125" s="205"/>
      <c r="HX125" s="205"/>
      <c r="HY125" s="205"/>
      <c r="HZ125" s="205"/>
      <c r="IA125" s="205"/>
      <c r="IB125" s="205"/>
      <c r="IC125" s="205"/>
      <c r="ID125" s="205"/>
      <c r="IE125" s="205"/>
      <c r="IF125" s="205"/>
      <c r="IG125" s="205"/>
      <c r="IH125" s="205"/>
      <c r="II125" s="205"/>
      <c r="IJ125" s="205"/>
      <c r="IK125" s="205"/>
      <c r="IL125" s="205"/>
      <c r="IM125" s="205"/>
      <c r="IN125" s="205"/>
      <c r="IO125" s="205"/>
      <c r="IP125" s="205"/>
      <c r="IQ125" s="205"/>
      <c r="IR125" s="205"/>
      <c r="IS125" s="205"/>
      <c r="IT125" s="205"/>
      <c r="IU125" s="205"/>
      <c r="IV125" s="205"/>
    </row>
  </sheetData>
  <mergeCells count="1">
    <mergeCell ref="A1:I1"/>
  </mergeCells>
  <phoneticPr fontId="54" type="noConversion"/>
  <printOptions horizontalCentered="1"/>
  <pageMargins left="0.98402777777777795" right="0.78680555555555598" top="0.78680555555555598" bottom="0.78680555555555598" header="0.51180555555555596" footer="0.51180555555555596"/>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E9"/>
  <sheetViews>
    <sheetView workbookViewId="0">
      <selection activeCell="B5" sqref="B5"/>
    </sheetView>
  </sheetViews>
  <sheetFormatPr defaultColWidth="9" defaultRowHeight="14.25"/>
  <cols>
    <col min="1" max="1" width="22.5" style="190" customWidth="1"/>
    <col min="2" max="3" width="15.25" style="190" customWidth="1"/>
    <col min="4" max="4" width="14.375" style="190" customWidth="1"/>
    <col min="5" max="5" width="11.375" style="190" customWidth="1"/>
    <col min="6" max="16384" width="9" style="190"/>
  </cols>
  <sheetData>
    <row r="2" spans="1:5" ht="35.1" customHeight="1">
      <c r="A2" s="349" t="s">
        <v>1421</v>
      </c>
      <c r="B2" s="349"/>
      <c r="C2" s="349"/>
      <c r="D2" s="349"/>
      <c r="E2" s="349"/>
    </row>
    <row r="3" spans="1:5" ht="18" customHeight="1">
      <c r="A3" s="161" t="s">
        <v>1422</v>
      </c>
      <c r="B3" s="191"/>
      <c r="C3" s="191"/>
      <c r="E3" s="183" t="s">
        <v>86</v>
      </c>
    </row>
    <row r="4" spans="1:5" ht="42" customHeight="1">
      <c r="A4" s="58" t="s">
        <v>1423</v>
      </c>
      <c r="B4" s="58" t="s">
        <v>1424</v>
      </c>
      <c r="C4" s="58" t="s">
        <v>1285</v>
      </c>
      <c r="D4" s="58" t="s">
        <v>140</v>
      </c>
      <c r="E4" s="174" t="s">
        <v>88</v>
      </c>
    </row>
    <row r="5" spans="1:5" ht="42" customHeight="1">
      <c r="A5" s="192" t="s">
        <v>1425</v>
      </c>
      <c r="B5" s="193">
        <v>115</v>
      </c>
      <c r="C5" s="193">
        <f>5+3+15</f>
        <v>23</v>
      </c>
      <c r="D5" s="88">
        <f t="shared" ref="D5:D9" si="0">(C5-B5)/B5*100</f>
        <v>-80</v>
      </c>
      <c r="E5" s="194"/>
    </row>
    <row r="6" spans="1:5" ht="42" customHeight="1">
      <c r="A6" s="195" t="s">
        <v>1426</v>
      </c>
      <c r="B6" s="196">
        <v>96</v>
      </c>
      <c r="C6" s="196">
        <v>11</v>
      </c>
      <c r="D6" s="88">
        <f t="shared" si="0"/>
        <v>-88.5</v>
      </c>
      <c r="E6" s="197"/>
    </row>
    <row r="7" spans="1:5" ht="42" customHeight="1">
      <c r="A7" s="195" t="s">
        <v>1427</v>
      </c>
      <c r="B7" s="196">
        <v>805</v>
      </c>
      <c r="C7" s="196">
        <v>643</v>
      </c>
      <c r="D7" s="88">
        <f t="shared" si="0"/>
        <v>-20.100000000000001</v>
      </c>
      <c r="E7" s="197"/>
    </row>
    <row r="8" spans="1:5" ht="42" customHeight="1">
      <c r="A8" s="192" t="s">
        <v>1223</v>
      </c>
      <c r="B8" s="196">
        <v>281</v>
      </c>
      <c r="C8" s="196">
        <v>175</v>
      </c>
      <c r="D8" s="88">
        <f t="shared" si="0"/>
        <v>-37.700000000000003</v>
      </c>
      <c r="E8" s="194"/>
    </row>
    <row r="9" spans="1:5" ht="42" customHeight="1">
      <c r="A9" s="198" t="s">
        <v>1428</v>
      </c>
      <c r="B9" s="199">
        <f>SUM(B5:B8)</f>
        <v>1297</v>
      </c>
      <c r="C9" s="199">
        <f>SUM(C5:C8)</f>
        <v>852</v>
      </c>
      <c r="D9" s="90">
        <f t="shared" si="0"/>
        <v>-34.299999999999997</v>
      </c>
      <c r="E9" s="200"/>
    </row>
  </sheetData>
  <mergeCells count="1">
    <mergeCell ref="A2:E2"/>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4"/>
  <sheetViews>
    <sheetView workbookViewId="0">
      <selection activeCell="J23" sqref="J23"/>
    </sheetView>
  </sheetViews>
  <sheetFormatPr defaultColWidth="7.875" defaultRowHeight="12.75"/>
  <cols>
    <col min="1" max="1" width="41.25" style="168" customWidth="1"/>
    <col min="2" max="2" width="9.125" style="168" customWidth="1"/>
    <col min="3" max="3" width="10.75" style="168" hidden="1" customWidth="1"/>
    <col min="4" max="4" width="8.125" style="168" customWidth="1"/>
    <col min="5" max="5" width="8.875" style="168" hidden="1" customWidth="1"/>
    <col min="6" max="6" width="10.125" style="168" customWidth="1"/>
    <col min="7" max="7" width="10" style="168" customWidth="1"/>
    <col min="8" max="16384" width="7.875" style="168"/>
  </cols>
  <sheetData>
    <row r="1" spans="1:7" ht="31.5" customHeight="1">
      <c r="A1" s="349" t="s">
        <v>1429</v>
      </c>
      <c r="B1" s="349"/>
      <c r="C1" s="349"/>
      <c r="D1" s="349"/>
      <c r="E1" s="349"/>
      <c r="F1" s="349"/>
      <c r="G1" s="349"/>
    </row>
    <row r="2" spans="1:7" s="169" customFormat="1" ht="30" customHeight="1">
      <c r="A2" s="161" t="s">
        <v>1430</v>
      </c>
      <c r="B2" s="172"/>
      <c r="C2" s="172"/>
      <c r="D2" s="172"/>
      <c r="F2" s="182"/>
      <c r="G2" s="183" t="s">
        <v>86</v>
      </c>
    </row>
    <row r="3" spans="1:7" s="160" customFormat="1" ht="36.75" customHeight="1">
      <c r="A3" s="58" t="s">
        <v>54</v>
      </c>
      <c r="B3" s="58" t="s">
        <v>1431</v>
      </c>
      <c r="C3" s="58" t="s">
        <v>56</v>
      </c>
      <c r="D3" s="58" t="s">
        <v>1432</v>
      </c>
      <c r="E3" s="174" t="s">
        <v>58</v>
      </c>
      <c r="F3" s="174" t="s">
        <v>131</v>
      </c>
      <c r="G3" s="58" t="s">
        <v>88</v>
      </c>
    </row>
    <row r="4" spans="1:7" s="170" customFormat="1" ht="23.25" customHeight="1">
      <c r="A4" s="145" t="s">
        <v>1433</v>
      </c>
      <c r="B4" s="36"/>
      <c r="C4" s="36"/>
      <c r="D4" s="36"/>
      <c r="E4" s="36"/>
      <c r="F4" s="64"/>
      <c r="G4" s="176"/>
    </row>
    <row r="5" spans="1:7" s="170" customFormat="1" ht="23.25" customHeight="1">
      <c r="A5" s="145" t="s">
        <v>1434</v>
      </c>
      <c r="B5" s="36"/>
      <c r="C5" s="36"/>
      <c r="D5" s="36"/>
      <c r="E5" s="36"/>
      <c r="F5" s="64"/>
      <c r="G5" s="176"/>
    </row>
    <row r="6" spans="1:7" s="170" customFormat="1" ht="23.25" customHeight="1">
      <c r="A6" s="145" t="s">
        <v>1435</v>
      </c>
      <c r="B6" s="36"/>
      <c r="C6" s="36"/>
      <c r="D6" s="36"/>
      <c r="E6" s="36"/>
      <c r="F6" s="88"/>
      <c r="G6" s="184"/>
    </row>
    <row r="7" spans="1:7" s="170" customFormat="1" ht="23.25" customHeight="1">
      <c r="A7" s="145" t="s">
        <v>1436</v>
      </c>
      <c r="B7" s="36"/>
      <c r="C7" s="36"/>
      <c r="D7" s="36"/>
      <c r="E7" s="36"/>
      <c r="F7" s="88"/>
      <c r="G7" s="184"/>
    </row>
    <row r="8" spans="1:7" s="170" customFormat="1" ht="23.25" customHeight="1">
      <c r="A8" s="145" t="s">
        <v>1437</v>
      </c>
      <c r="B8" s="36">
        <v>175553</v>
      </c>
      <c r="C8" s="36"/>
      <c r="D8" s="36">
        <v>239550</v>
      </c>
      <c r="E8" s="36"/>
      <c r="F8" s="88">
        <f t="shared" ref="F8" si="0">(D8/B8-1)*100</f>
        <v>36.5</v>
      </c>
      <c r="G8" s="184"/>
    </row>
    <row r="9" spans="1:7" s="170" customFormat="1" ht="23.25" customHeight="1">
      <c r="A9" s="145" t="s">
        <v>1438</v>
      </c>
      <c r="B9" s="36"/>
      <c r="C9" s="36"/>
      <c r="D9" s="36"/>
      <c r="E9" s="36"/>
      <c r="F9" s="88"/>
      <c r="G9" s="184"/>
    </row>
    <row r="10" spans="1:7" s="170" customFormat="1" ht="23.25" customHeight="1">
      <c r="A10" s="145" t="s">
        <v>1439</v>
      </c>
      <c r="B10" s="36">
        <v>2056</v>
      </c>
      <c r="C10" s="36"/>
      <c r="D10" s="36">
        <v>1809</v>
      </c>
      <c r="E10" s="36"/>
      <c r="F10" s="88">
        <f>(D10/B10-1)*100</f>
        <v>-12</v>
      </c>
      <c r="G10" s="184"/>
    </row>
    <row r="11" spans="1:7" s="170" customFormat="1" ht="23.25" customHeight="1">
      <c r="A11" s="145" t="s">
        <v>1440</v>
      </c>
      <c r="B11" s="36">
        <v>7715</v>
      </c>
      <c r="C11" s="36"/>
      <c r="D11" s="36">
        <v>12601</v>
      </c>
      <c r="E11" s="36"/>
      <c r="F11" s="88">
        <f>(D11/B11-1)*100</f>
        <v>63.3</v>
      </c>
      <c r="G11" s="184"/>
    </row>
    <row r="12" spans="1:7" s="170" customFormat="1" ht="23.25" customHeight="1">
      <c r="A12" s="145" t="s">
        <v>1441</v>
      </c>
      <c r="B12" s="36"/>
      <c r="C12" s="36"/>
      <c r="D12" s="36"/>
      <c r="E12" s="36"/>
      <c r="F12" s="88"/>
      <c r="G12" s="176"/>
    </row>
    <row r="13" spans="1:7" s="170" customFormat="1" ht="23.25" customHeight="1">
      <c r="A13" s="145" t="s">
        <v>1442</v>
      </c>
      <c r="B13" s="36"/>
      <c r="C13" s="36"/>
      <c r="D13" s="36"/>
      <c r="E13" s="36"/>
      <c r="F13" s="88"/>
      <c r="G13" s="176"/>
    </row>
    <row r="14" spans="1:7" s="170" customFormat="1" ht="23.25" customHeight="1">
      <c r="A14" s="145" t="s">
        <v>1443</v>
      </c>
      <c r="B14" s="36"/>
      <c r="C14" s="36"/>
      <c r="D14" s="36"/>
      <c r="E14" s="36"/>
      <c r="F14" s="88"/>
      <c r="G14" s="176"/>
    </row>
    <row r="15" spans="1:7" s="170" customFormat="1" ht="23.25" customHeight="1">
      <c r="A15" s="145" t="s">
        <v>1444</v>
      </c>
      <c r="B15" s="36">
        <v>833</v>
      </c>
      <c r="C15" s="36"/>
      <c r="D15" s="36">
        <v>918</v>
      </c>
      <c r="E15" s="36"/>
      <c r="F15" s="88">
        <f t="shared" ref="F15:F16" si="1">(D15/B15-1)*100</f>
        <v>10.199999999999999</v>
      </c>
      <c r="G15" s="184"/>
    </row>
    <row r="16" spans="1:7" ht="23.25" customHeight="1">
      <c r="A16" s="145" t="s">
        <v>1445</v>
      </c>
      <c r="B16" s="36">
        <v>765</v>
      </c>
      <c r="C16" s="36"/>
      <c r="D16" s="36">
        <v>853</v>
      </c>
      <c r="E16" s="36"/>
      <c r="F16" s="88">
        <f t="shared" si="1"/>
        <v>11.5</v>
      </c>
      <c r="G16" s="185"/>
    </row>
    <row r="17" spans="1:7" s="170" customFormat="1" ht="54" customHeight="1">
      <c r="A17" s="145" t="s">
        <v>1446</v>
      </c>
      <c r="B17" s="36">
        <v>27659</v>
      </c>
      <c r="C17" s="36"/>
      <c r="D17" s="36"/>
      <c r="E17" s="36"/>
      <c r="F17" s="88"/>
      <c r="G17" s="177" t="s">
        <v>1447</v>
      </c>
    </row>
    <row r="18" spans="1:7" s="171" customFormat="1" ht="24.95" customHeight="1">
      <c r="A18" s="150" t="s">
        <v>83</v>
      </c>
      <c r="B18" s="47">
        <f>SUM(B4:B17)</f>
        <v>214581</v>
      </c>
      <c r="C18" s="47">
        <f>SUM(C4:C15)</f>
        <v>0</v>
      </c>
      <c r="D18" s="47">
        <f>SUM(D4:D17)</f>
        <v>255731</v>
      </c>
      <c r="E18" s="36"/>
      <c r="F18" s="90">
        <f>(D18/B18-1)*100</f>
        <v>19.2</v>
      </c>
      <c r="G18" s="178"/>
    </row>
    <row r="19" spans="1:7" ht="29.25" hidden="1" customHeight="1">
      <c r="A19" s="186" t="s">
        <v>1448</v>
      </c>
      <c r="B19" s="86"/>
      <c r="C19" s="86"/>
      <c r="D19" s="86"/>
      <c r="E19" s="86"/>
      <c r="F19" s="187"/>
    </row>
    <row r="20" spans="1:7" ht="29.25" hidden="1" customHeight="1">
      <c r="A20" s="188" t="s">
        <v>172</v>
      </c>
      <c r="B20" s="86"/>
      <c r="C20" s="86"/>
      <c r="D20" s="86"/>
      <c r="E20" s="86"/>
      <c r="F20" s="187"/>
    </row>
    <row r="21" spans="1:7">
      <c r="A21" s="181"/>
      <c r="B21" s="181"/>
      <c r="C21" s="181"/>
      <c r="D21" s="181"/>
      <c r="E21" s="181"/>
      <c r="F21" s="181"/>
    </row>
    <row r="22" spans="1:7" ht="18" customHeight="1">
      <c r="A22" s="181"/>
      <c r="B22" s="181"/>
      <c r="C22" s="181"/>
      <c r="D22" s="181"/>
      <c r="E22" s="181"/>
      <c r="F22" s="181"/>
    </row>
    <row r="23" spans="1:7" ht="18" customHeight="1"/>
    <row r="24" spans="1:7" ht="18" customHeight="1"/>
  </sheetData>
  <mergeCells count="1">
    <mergeCell ref="A1:G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2"/>
  <sheetViews>
    <sheetView workbookViewId="0">
      <selection activeCell="G9" sqref="G9"/>
    </sheetView>
  </sheetViews>
  <sheetFormatPr defaultColWidth="7.875" defaultRowHeight="12.75"/>
  <cols>
    <col min="1" max="1" width="28.5" style="168" customWidth="1"/>
    <col min="2" max="5" width="12.625" style="168" customWidth="1"/>
    <col min="6" max="16384" width="7.875" style="168"/>
  </cols>
  <sheetData>
    <row r="1" spans="1:5" ht="30" customHeight="1">
      <c r="A1" s="349" t="s">
        <v>1449</v>
      </c>
      <c r="B1" s="349"/>
      <c r="C1" s="349"/>
      <c r="D1" s="349"/>
      <c r="E1" s="349"/>
    </row>
    <row r="2" spans="1:5" s="169" customFormat="1" ht="30" customHeight="1">
      <c r="A2" s="161" t="s">
        <v>1450</v>
      </c>
      <c r="B2" s="172"/>
      <c r="C2" s="172"/>
      <c r="E2" s="173" t="s">
        <v>86</v>
      </c>
    </row>
    <row r="3" spans="1:5" s="160" customFormat="1" ht="35.1" customHeight="1">
      <c r="A3" s="8" t="s">
        <v>54</v>
      </c>
      <c r="B3" s="58" t="s">
        <v>55</v>
      </c>
      <c r="C3" s="58" t="s">
        <v>57</v>
      </c>
      <c r="D3" s="174" t="s">
        <v>59</v>
      </c>
      <c r="E3" s="58" t="s">
        <v>88</v>
      </c>
    </row>
    <row r="4" spans="1:5" s="170" customFormat="1" ht="24.95" customHeight="1">
      <c r="A4" s="145" t="s">
        <v>1261</v>
      </c>
      <c r="B4" s="36">
        <v>240</v>
      </c>
      <c r="C4" s="36">
        <v>70</v>
      </c>
      <c r="D4" s="88">
        <f t="shared" ref="D4:D5" si="0">(C4/B4-1)*100</f>
        <v>-70.8</v>
      </c>
      <c r="E4" s="175"/>
    </row>
    <row r="5" spans="1:5" s="170" customFormat="1" ht="24.95" customHeight="1">
      <c r="A5" s="145" t="s">
        <v>1262</v>
      </c>
      <c r="B5" s="36">
        <v>727</v>
      </c>
      <c r="C5" s="36">
        <v>672</v>
      </c>
      <c r="D5" s="88">
        <f t="shared" si="0"/>
        <v>-7.6</v>
      </c>
      <c r="E5" s="175"/>
    </row>
    <row r="6" spans="1:5" s="170" customFormat="1" ht="24.95" customHeight="1">
      <c r="A6" s="145" t="s">
        <v>1264</v>
      </c>
      <c r="B6" s="36"/>
      <c r="C6" s="36"/>
      <c r="D6" s="88"/>
      <c r="E6" s="176"/>
    </row>
    <row r="7" spans="1:5" s="170" customFormat="1" ht="24.95" customHeight="1">
      <c r="A7" s="145" t="s">
        <v>1265</v>
      </c>
      <c r="B7" s="36">
        <v>113616</v>
      </c>
      <c r="C7" s="36">
        <f>56042+58377</f>
        <v>114419</v>
      </c>
      <c r="D7" s="88">
        <f>(C7/B7-1)*100</f>
        <v>0.7</v>
      </c>
      <c r="E7" s="176"/>
    </row>
    <row r="8" spans="1:5" s="170" customFormat="1" ht="24.95" customHeight="1">
      <c r="A8" s="145" t="s">
        <v>1266</v>
      </c>
      <c r="B8" s="36"/>
      <c r="C8" s="36">
        <v>350</v>
      </c>
      <c r="D8" s="88"/>
      <c r="E8" s="176"/>
    </row>
    <row r="9" spans="1:5" s="170" customFormat="1" ht="24.95" customHeight="1">
      <c r="A9" s="145" t="s">
        <v>1267</v>
      </c>
      <c r="B9" s="36">
        <v>20000</v>
      </c>
      <c r="C9" s="36"/>
      <c r="D9" s="88"/>
      <c r="E9" s="176"/>
    </row>
    <row r="10" spans="1:5" s="170" customFormat="1" ht="24.95" customHeight="1">
      <c r="A10" s="145" t="s">
        <v>1451</v>
      </c>
      <c r="B10" s="36"/>
      <c r="C10" s="36"/>
      <c r="D10" s="88"/>
      <c r="E10" s="176"/>
    </row>
    <row r="11" spans="1:5" s="170" customFormat="1" ht="24.95" customHeight="1">
      <c r="A11" s="145" t="s">
        <v>1269</v>
      </c>
      <c r="B11" s="36"/>
      <c r="C11" s="36"/>
      <c r="D11" s="88"/>
      <c r="E11" s="176"/>
    </row>
    <row r="12" spans="1:5" s="170" customFormat="1" ht="24.95" customHeight="1">
      <c r="A12" s="145" t="s">
        <v>1277</v>
      </c>
      <c r="B12" s="36">
        <v>3964</v>
      </c>
      <c r="C12" s="36">
        <f>3643+5562</f>
        <v>9205</v>
      </c>
      <c r="D12" s="88">
        <f t="shared" ref="D12:D14" si="1">(C12/B12-1)*100</f>
        <v>132.19999999999999</v>
      </c>
      <c r="E12" s="176"/>
    </row>
    <row r="13" spans="1:5" s="170" customFormat="1" ht="24.95" customHeight="1">
      <c r="A13" s="145" t="s">
        <v>1278</v>
      </c>
      <c r="B13" s="36">
        <v>108</v>
      </c>
      <c r="C13" s="36">
        <f>123+144</f>
        <v>267</v>
      </c>
      <c r="D13" s="88">
        <f t="shared" si="1"/>
        <v>147.19999999999999</v>
      </c>
      <c r="E13" s="176"/>
    </row>
    <row r="14" spans="1:5" ht="24.95" customHeight="1">
      <c r="A14" s="145" t="s">
        <v>1212</v>
      </c>
      <c r="B14" s="36">
        <v>28882</v>
      </c>
      <c r="C14" s="36">
        <f>109673+134710</f>
        <v>244383</v>
      </c>
      <c r="D14" s="88">
        <f t="shared" si="1"/>
        <v>746.1</v>
      </c>
      <c r="E14" s="176"/>
    </row>
    <row r="15" spans="1:5" ht="24.95" customHeight="1">
      <c r="A15" s="125" t="s">
        <v>1452</v>
      </c>
      <c r="B15" s="36"/>
      <c r="C15" s="36">
        <f>31205+13893</f>
        <v>45098</v>
      </c>
      <c r="D15" s="88"/>
      <c r="E15" s="177" t="s">
        <v>1453</v>
      </c>
    </row>
    <row r="16" spans="1:5" s="171" customFormat="1" ht="24.95" customHeight="1">
      <c r="A16" s="150" t="s">
        <v>113</v>
      </c>
      <c r="B16" s="47">
        <f>SUM(B4:B15)</f>
        <v>167537</v>
      </c>
      <c r="C16" s="47">
        <f>SUM(C4:C15)</f>
        <v>414464</v>
      </c>
      <c r="D16" s="90">
        <f>(C16/B16-1)*100</f>
        <v>147.4</v>
      </c>
      <c r="E16" s="178"/>
    </row>
    <row r="17" spans="1:4" ht="29.25" customHeight="1">
      <c r="A17" s="179"/>
      <c r="B17" s="179"/>
      <c r="C17" s="180"/>
      <c r="D17" s="189"/>
    </row>
    <row r="18" spans="1:4" ht="18" customHeight="1">
      <c r="A18" s="179"/>
      <c r="B18" s="179"/>
      <c r="C18" s="179"/>
      <c r="D18" s="189"/>
    </row>
    <row r="19" spans="1:4">
      <c r="A19" s="181"/>
      <c r="B19" s="181"/>
      <c r="C19" s="181"/>
      <c r="D19" s="181"/>
    </row>
    <row r="20" spans="1:4" ht="18" customHeight="1">
      <c r="A20" s="181"/>
      <c r="B20" s="181"/>
      <c r="C20" s="181"/>
      <c r="D20" s="181"/>
    </row>
    <row r="21" spans="1:4" ht="18" customHeight="1"/>
    <row r="22" spans="1:4" ht="18" customHeight="1"/>
  </sheetData>
  <mergeCells count="1">
    <mergeCell ref="A1:E1"/>
  </mergeCells>
  <phoneticPr fontId="22" type="noConversion"/>
  <printOptions horizontalCentered="1"/>
  <pageMargins left="0.74791666666666701" right="0.74791666666666701" top="0.78680555555555598" bottom="0.98402777777777795" header="0.51180555555555596" footer="0.51180555555555596"/>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EX24"/>
  <sheetViews>
    <sheetView workbookViewId="0">
      <selection activeCell="L17" sqref="L17"/>
    </sheetView>
  </sheetViews>
  <sheetFormatPr defaultColWidth="7.875" defaultRowHeight="14.25"/>
  <cols>
    <col min="1" max="1" width="39" style="168" customWidth="1"/>
    <col min="2" max="2" width="8.625" style="168" customWidth="1"/>
    <col min="3" max="3" width="10.75" style="168" hidden="1" customWidth="1"/>
    <col min="4" max="4" width="8.625" style="168" customWidth="1"/>
    <col min="5" max="5" width="8.875" style="168" hidden="1" customWidth="1"/>
    <col min="6" max="6" width="11.25" style="168" customWidth="1"/>
    <col min="7" max="7" width="10.75" style="168" customWidth="1"/>
    <col min="8" max="16378" width="7.875" style="168"/>
  </cols>
  <sheetData>
    <row r="1" spans="1:7" s="168" customFormat="1" ht="31.5" customHeight="1">
      <c r="A1" s="349" t="s">
        <v>1454</v>
      </c>
      <c r="B1" s="349"/>
      <c r="C1" s="349"/>
      <c r="D1" s="349"/>
      <c r="E1" s="349"/>
      <c r="F1" s="349"/>
      <c r="G1" s="349"/>
    </row>
    <row r="2" spans="1:7" s="169" customFormat="1" ht="30" customHeight="1">
      <c r="A2" s="161" t="s">
        <v>1455</v>
      </c>
      <c r="B2" s="172"/>
      <c r="C2" s="172"/>
      <c r="D2" s="172"/>
      <c r="F2" s="182"/>
      <c r="G2" s="183" t="s">
        <v>86</v>
      </c>
    </row>
    <row r="3" spans="1:7" s="160" customFormat="1" ht="35.1" customHeight="1">
      <c r="A3" s="58" t="s">
        <v>54</v>
      </c>
      <c r="B3" s="58" t="s">
        <v>1431</v>
      </c>
      <c r="C3" s="58" t="s">
        <v>56</v>
      </c>
      <c r="D3" s="58" t="s">
        <v>1432</v>
      </c>
      <c r="E3" s="174" t="s">
        <v>58</v>
      </c>
      <c r="F3" s="174" t="s">
        <v>131</v>
      </c>
      <c r="G3" s="58" t="s">
        <v>88</v>
      </c>
    </row>
    <row r="4" spans="1:7" s="170" customFormat="1" ht="26.25" customHeight="1">
      <c r="A4" s="145" t="s">
        <v>1433</v>
      </c>
      <c r="B4" s="36"/>
      <c r="C4" s="36"/>
      <c r="D4" s="36"/>
      <c r="E4" s="36"/>
      <c r="F4" s="64"/>
      <c r="G4" s="176"/>
    </row>
    <row r="5" spans="1:7" s="170" customFormat="1" ht="26.25" customHeight="1">
      <c r="A5" s="145" t="s">
        <v>1434</v>
      </c>
      <c r="B5" s="36"/>
      <c r="C5" s="36"/>
      <c r="D5" s="36"/>
      <c r="E5" s="36"/>
      <c r="F5" s="64"/>
      <c r="G5" s="176"/>
    </row>
    <row r="6" spans="1:7" s="170" customFormat="1" ht="26.25" customHeight="1">
      <c r="A6" s="145" t="s">
        <v>1435</v>
      </c>
      <c r="B6" s="36"/>
      <c r="C6" s="36"/>
      <c r="D6" s="36"/>
      <c r="E6" s="36"/>
      <c r="F6" s="64"/>
      <c r="G6" s="184"/>
    </row>
    <row r="7" spans="1:7" s="170" customFormat="1" ht="26.25" customHeight="1">
      <c r="A7" s="145" t="s">
        <v>1436</v>
      </c>
      <c r="B7" s="36"/>
      <c r="C7" s="36"/>
      <c r="D7" s="36"/>
      <c r="E7" s="36"/>
      <c r="F7" s="88"/>
      <c r="G7" s="184"/>
    </row>
    <row r="8" spans="1:7" s="170" customFormat="1" ht="26.25" customHeight="1">
      <c r="A8" s="145" t="s">
        <v>1437</v>
      </c>
      <c r="B8" s="36">
        <v>145233</v>
      </c>
      <c r="C8" s="36"/>
      <c r="D8" s="36">
        <v>215194</v>
      </c>
      <c r="E8" s="36"/>
      <c r="F8" s="88">
        <f t="shared" ref="F8" si="0">(D8/B8-1)*100</f>
        <v>48.2</v>
      </c>
      <c r="G8" s="184"/>
    </row>
    <row r="9" spans="1:7" s="170" customFormat="1" ht="26.25" customHeight="1">
      <c r="A9" s="145" t="s">
        <v>1438</v>
      </c>
      <c r="B9" s="36"/>
      <c r="C9" s="36"/>
      <c r="D9" s="36"/>
      <c r="E9" s="36"/>
      <c r="F9" s="88"/>
      <c r="G9" s="184"/>
    </row>
    <row r="10" spans="1:7" s="170" customFormat="1" ht="26.25" customHeight="1">
      <c r="A10" s="145" t="s">
        <v>1439</v>
      </c>
      <c r="B10" s="36">
        <v>2056</v>
      </c>
      <c r="C10" s="36"/>
      <c r="D10" s="36">
        <v>1809</v>
      </c>
      <c r="E10" s="36"/>
      <c r="F10" s="88">
        <f>(D10/B10-1)*100</f>
        <v>-12</v>
      </c>
      <c r="G10" s="184"/>
    </row>
    <row r="11" spans="1:7" s="170" customFormat="1" ht="26.25" customHeight="1">
      <c r="A11" s="145" t="s">
        <v>1440</v>
      </c>
      <c r="B11" s="36">
        <v>7621</v>
      </c>
      <c r="C11" s="36"/>
      <c r="D11" s="36">
        <v>12377</v>
      </c>
      <c r="E11" s="36"/>
      <c r="F11" s="88">
        <f>(D11/B11-1)*100</f>
        <v>62.4</v>
      </c>
      <c r="G11" s="184"/>
    </row>
    <row r="12" spans="1:7" s="170" customFormat="1" ht="26.25" customHeight="1">
      <c r="A12" s="145" t="s">
        <v>1441</v>
      </c>
      <c r="B12" s="36"/>
      <c r="C12" s="36"/>
      <c r="D12" s="36"/>
      <c r="E12" s="36"/>
      <c r="F12" s="88"/>
      <c r="G12" s="176"/>
    </row>
    <row r="13" spans="1:7" s="170" customFormat="1" ht="26.25" customHeight="1">
      <c r="A13" s="145" t="s">
        <v>1442</v>
      </c>
      <c r="B13" s="36"/>
      <c r="C13" s="36"/>
      <c r="D13" s="36"/>
      <c r="E13" s="36"/>
      <c r="F13" s="88"/>
      <c r="G13" s="176"/>
    </row>
    <row r="14" spans="1:7" s="170" customFormat="1" ht="26.25" customHeight="1">
      <c r="A14" s="145" t="s">
        <v>1443</v>
      </c>
      <c r="B14" s="36"/>
      <c r="C14" s="36"/>
      <c r="D14" s="36"/>
      <c r="E14" s="36"/>
      <c r="F14" s="88"/>
      <c r="G14" s="176"/>
    </row>
    <row r="15" spans="1:7" s="170" customFormat="1" ht="26.25" customHeight="1">
      <c r="A15" s="145" t="s">
        <v>1444</v>
      </c>
      <c r="B15" s="36">
        <v>833</v>
      </c>
      <c r="C15" s="36"/>
      <c r="D15" s="36">
        <v>864</v>
      </c>
      <c r="E15" s="36"/>
      <c r="F15" s="88">
        <f t="shared" ref="F15:F16" si="1">(D15/B15-1)*100</f>
        <v>3.7</v>
      </c>
      <c r="G15" s="184"/>
    </row>
    <row r="16" spans="1:7" s="168" customFormat="1" ht="26.25" customHeight="1">
      <c r="A16" s="145" t="s">
        <v>1445</v>
      </c>
      <c r="B16" s="36">
        <v>765</v>
      </c>
      <c r="C16" s="36"/>
      <c r="D16" s="36">
        <v>853</v>
      </c>
      <c r="E16" s="36"/>
      <c r="F16" s="88">
        <f t="shared" si="1"/>
        <v>11.5</v>
      </c>
      <c r="G16" s="185"/>
    </row>
    <row r="17" spans="1:7" s="170" customFormat="1" ht="52.5" customHeight="1">
      <c r="A17" s="145" t="s">
        <v>1446</v>
      </c>
      <c r="B17" s="36">
        <v>27656</v>
      </c>
      <c r="C17" s="36"/>
      <c r="D17" s="36"/>
      <c r="E17" s="36"/>
      <c r="F17" s="88"/>
      <c r="G17" s="177" t="s">
        <v>1447</v>
      </c>
    </row>
    <row r="18" spans="1:7" s="171" customFormat="1" ht="24.95" customHeight="1">
      <c r="A18" s="150" t="s">
        <v>83</v>
      </c>
      <c r="B18" s="47">
        <f>SUM(B4:B17)</f>
        <v>184164</v>
      </c>
      <c r="C18" s="47">
        <f>SUM(C4:C15)</f>
        <v>0</v>
      </c>
      <c r="D18" s="47">
        <f>SUM(D4:D17)</f>
        <v>231097</v>
      </c>
      <c r="E18" s="36"/>
      <c r="F18" s="90">
        <f>(D18/B18-1)*100</f>
        <v>25.5</v>
      </c>
      <c r="G18" s="178"/>
    </row>
    <row r="19" spans="1:7" s="168" customFormat="1" ht="29.25" hidden="1" customHeight="1">
      <c r="A19" s="186" t="s">
        <v>1448</v>
      </c>
      <c r="B19" s="86"/>
      <c r="C19" s="86"/>
      <c r="D19" s="86"/>
      <c r="E19" s="86"/>
      <c r="F19" s="187"/>
    </row>
    <row r="20" spans="1:7" s="168" customFormat="1" ht="29.25" hidden="1" customHeight="1">
      <c r="A20" s="188" t="s">
        <v>172</v>
      </c>
      <c r="B20" s="86"/>
      <c r="C20" s="86"/>
      <c r="D20" s="86"/>
      <c r="E20" s="86"/>
      <c r="F20" s="187"/>
    </row>
    <row r="21" spans="1:7" s="168" customFormat="1" ht="12.75">
      <c r="A21" s="181"/>
      <c r="B21" s="181"/>
      <c r="C21" s="181"/>
      <c r="D21" s="181"/>
      <c r="E21" s="181"/>
      <c r="F21" s="181"/>
    </row>
    <row r="22" spans="1:7" s="168" customFormat="1" ht="12.75">
      <c r="A22" s="181"/>
      <c r="B22" s="181"/>
      <c r="C22" s="181"/>
      <c r="D22" s="181"/>
      <c r="E22" s="181"/>
      <c r="F22" s="181"/>
    </row>
    <row r="23" spans="1:7" s="168" customFormat="1" ht="18" customHeight="1"/>
    <row r="24" spans="1:7" s="168" customFormat="1" ht="18" customHeight="1"/>
  </sheetData>
  <mergeCells count="1">
    <mergeCell ref="A1:G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EX22"/>
  <sheetViews>
    <sheetView workbookViewId="0">
      <selection activeCell="C4" sqref="C4:C15"/>
    </sheetView>
  </sheetViews>
  <sheetFormatPr defaultColWidth="7.875" defaultRowHeight="14.25"/>
  <cols>
    <col min="1" max="1" width="28.5" style="168" customWidth="1"/>
    <col min="2" max="5" width="12.625" style="168" customWidth="1"/>
    <col min="6" max="16378" width="7.875" style="168"/>
  </cols>
  <sheetData>
    <row r="1" spans="1:5" s="168" customFormat="1" ht="30" customHeight="1">
      <c r="A1" s="349" t="s">
        <v>1456</v>
      </c>
      <c r="B1" s="349"/>
      <c r="C1" s="349"/>
      <c r="D1" s="349"/>
      <c r="E1" s="349"/>
    </row>
    <row r="2" spans="1:5" s="169" customFormat="1" ht="30" customHeight="1">
      <c r="A2" s="161" t="s">
        <v>1457</v>
      </c>
      <c r="B2" s="172"/>
      <c r="C2" s="172"/>
      <c r="E2" s="173" t="s">
        <v>86</v>
      </c>
    </row>
    <row r="3" spans="1:5" s="160" customFormat="1" ht="35.1" customHeight="1">
      <c r="A3" s="8" t="s">
        <v>54</v>
      </c>
      <c r="B3" s="58" t="s">
        <v>55</v>
      </c>
      <c r="C3" s="58" t="s">
        <v>57</v>
      </c>
      <c r="D3" s="174" t="s">
        <v>59</v>
      </c>
      <c r="E3" s="58" t="s">
        <v>88</v>
      </c>
    </row>
    <row r="4" spans="1:5" s="170" customFormat="1" ht="24.95" customHeight="1">
      <c r="A4" s="145" t="s">
        <v>1261</v>
      </c>
      <c r="B4" s="36">
        <v>105</v>
      </c>
      <c r="C4" s="36"/>
      <c r="D4" s="64"/>
      <c r="E4" s="175"/>
    </row>
    <row r="5" spans="1:5" s="170" customFormat="1" ht="24.95" customHeight="1">
      <c r="A5" s="145" t="s">
        <v>1262</v>
      </c>
      <c r="B5" s="36"/>
      <c r="C5" s="36"/>
      <c r="D5" s="88"/>
      <c r="E5" s="175"/>
    </row>
    <row r="6" spans="1:5" s="170" customFormat="1" ht="24.95" customHeight="1">
      <c r="A6" s="145" t="s">
        <v>1264</v>
      </c>
      <c r="B6" s="36"/>
      <c r="C6" s="36"/>
      <c r="D6" s="88"/>
      <c r="E6" s="176"/>
    </row>
    <row r="7" spans="1:5" s="170" customFormat="1" ht="24.95" customHeight="1">
      <c r="A7" s="145" t="s">
        <v>1265</v>
      </c>
      <c r="B7" s="36">
        <v>16719</v>
      </c>
      <c r="C7" s="36">
        <v>58750</v>
      </c>
      <c r="D7" s="88">
        <f>(C7/B7-1)*100</f>
        <v>251.4</v>
      </c>
      <c r="E7" s="176"/>
    </row>
    <row r="8" spans="1:5" s="170" customFormat="1" ht="24.95" customHeight="1">
      <c r="A8" s="145" t="s">
        <v>1266</v>
      </c>
      <c r="B8" s="36"/>
      <c r="C8" s="36"/>
      <c r="D8" s="88"/>
      <c r="E8" s="176"/>
    </row>
    <row r="9" spans="1:5" s="170" customFormat="1" ht="24.95" customHeight="1">
      <c r="A9" s="145" t="s">
        <v>1267</v>
      </c>
      <c r="B9" s="36">
        <v>20000</v>
      </c>
      <c r="C9" s="36"/>
      <c r="D9" s="88"/>
      <c r="E9" s="176"/>
    </row>
    <row r="10" spans="1:5" s="170" customFormat="1" ht="24.95" customHeight="1">
      <c r="A10" s="145" t="s">
        <v>1451</v>
      </c>
      <c r="B10" s="36"/>
      <c r="C10" s="36"/>
      <c r="D10" s="88"/>
      <c r="E10" s="176"/>
    </row>
    <row r="11" spans="1:5" s="170" customFormat="1" ht="24.95" customHeight="1">
      <c r="A11" s="145" t="s">
        <v>1269</v>
      </c>
      <c r="B11" s="36"/>
      <c r="C11" s="36"/>
      <c r="D11" s="88"/>
      <c r="E11" s="176"/>
    </row>
    <row r="12" spans="1:5" s="170" customFormat="1" ht="24.95" customHeight="1">
      <c r="A12" s="145" t="s">
        <v>1277</v>
      </c>
      <c r="B12" s="36">
        <v>2562</v>
      </c>
      <c r="C12" s="36">
        <v>5562</v>
      </c>
      <c r="D12" s="88">
        <f t="shared" ref="D12:D14" si="0">(C12/B12-1)*100</f>
        <v>117.1</v>
      </c>
      <c r="E12" s="176"/>
    </row>
    <row r="13" spans="1:5" s="170" customFormat="1" ht="24.95" customHeight="1">
      <c r="A13" s="145" t="s">
        <v>1278</v>
      </c>
      <c r="B13" s="36">
        <v>51</v>
      </c>
      <c r="C13" s="36">
        <v>144</v>
      </c>
      <c r="D13" s="88">
        <f t="shared" si="0"/>
        <v>182.4</v>
      </c>
      <c r="E13" s="176"/>
    </row>
    <row r="14" spans="1:5" s="168" customFormat="1" ht="24.95" customHeight="1">
      <c r="A14" s="145" t="s">
        <v>1212</v>
      </c>
      <c r="B14" s="36">
        <v>24590</v>
      </c>
      <c r="C14" s="36">
        <v>134710</v>
      </c>
      <c r="D14" s="88">
        <f t="shared" si="0"/>
        <v>447.8</v>
      </c>
      <c r="E14" s="176"/>
    </row>
    <row r="15" spans="1:5" s="168" customFormat="1" ht="24.95" customHeight="1">
      <c r="A15" s="125" t="s">
        <v>1452</v>
      </c>
      <c r="B15" s="36"/>
      <c r="C15" s="36">
        <v>13893</v>
      </c>
      <c r="D15" s="88"/>
      <c r="E15" s="177" t="s">
        <v>1453</v>
      </c>
    </row>
    <row r="16" spans="1:5" s="171" customFormat="1" ht="24.95" customHeight="1">
      <c r="A16" s="150" t="s">
        <v>113</v>
      </c>
      <c r="B16" s="47">
        <f>SUM(B4:B15)</f>
        <v>64027</v>
      </c>
      <c r="C16" s="47">
        <f>SUM(C4:C15)</f>
        <v>213059</v>
      </c>
      <c r="D16" s="90">
        <f>(C16/B16-1)*100</f>
        <v>232.8</v>
      </c>
      <c r="E16" s="178"/>
    </row>
    <row r="17" spans="1:4" s="168" customFormat="1" ht="29.25" customHeight="1">
      <c r="A17" s="179"/>
      <c r="B17" s="179"/>
      <c r="C17" s="180"/>
      <c r="D17" s="179"/>
    </row>
    <row r="18" spans="1:4" s="168" customFormat="1" ht="18" customHeight="1">
      <c r="A18" s="179"/>
      <c r="B18" s="179"/>
      <c r="C18" s="179"/>
      <c r="D18" s="179"/>
    </row>
    <row r="19" spans="1:4" s="168" customFormat="1" ht="12.75">
      <c r="A19" s="181"/>
      <c r="B19" s="181"/>
      <c r="C19" s="181"/>
      <c r="D19" s="181"/>
    </row>
    <row r="20" spans="1:4" s="168" customFormat="1" ht="18" customHeight="1">
      <c r="A20" s="181"/>
      <c r="B20" s="181"/>
      <c r="C20" s="181"/>
      <c r="D20" s="181"/>
    </row>
    <row r="21" spans="1:4" s="168" customFormat="1" ht="18" customHeight="1"/>
    <row r="22" spans="1:4" s="168" customFormat="1" ht="18" customHeight="1"/>
  </sheetData>
  <mergeCells count="1">
    <mergeCell ref="A1:E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4"/>
  <sheetViews>
    <sheetView workbookViewId="0">
      <pane xSplit="1" ySplit="3" topLeftCell="B4" activePane="bottomRight" state="frozen"/>
      <selection pane="topRight"/>
      <selection pane="bottomLeft"/>
      <selection pane="bottomRight" activeCell="R19" sqref="R19"/>
    </sheetView>
  </sheetViews>
  <sheetFormatPr defaultColWidth="7.875" defaultRowHeight="12.75"/>
  <cols>
    <col min="1" max="1" width="33.5" style="72" customWidth="1"/>
    <col min="2" max="6" width="10.375" style="72" customWidth="1"/>
    <col min="7" max="7" width="7.875" style="72" customWidth="1"/>
    <col min="8" max="15" width="7.875" style="72" hidden="1" customWidth="1"/>
    <col min="16" max="16372" width="7.875" style="72" customWidth="1"/>
    <col min="16373" max="16384" width="7.875" style="72"/>
  </cols>
  <sheetData>
    <row r="1" spans="1:14" ht="30" customHeight="1">
      <c r="A1" s="349" t="s">
        <v>1458</v>
      </c>
      <c r="B1" s="349"/>
      <c r="C1" s="349"/>
      <c r="D1" s="349"/>
      <c r="E1" s="349"/>
      <c r="F1" s="349"/>
    </row>
    <row r="2" spans="1:14" s="143" customFormat="1" ht="20.100000000000001" customHeight="1">
      <c r="A2" s="161" t="s">
        <v>1459</v>
      </c>
      <c r="B2" s="161"/>
      <c r="C2" s="162"/>
      <c r="D2" s="162"/>
      <c r="F2" s="7" t="s">
        <v>86</v>
      </c>
    </row>
    <row r="3" spans="1:14" ht="40.5">
      <c r="A3" s="8" t="s">
        <v>137</v>
      </c>
      <c r="B3" s="58" t="s">
        <v>176</v>
      </c>
      <c r="C3" s="58" t="s">
        <v>138</v>
      </c>
      <c r="D3" s="58" t="s">
        <v>139</v>
      </c>
      <c r="E3" s="60" t="s">
        <v>1460</v>
      </c>
      <c r="F3" s="60" t="s">
        <v>88</v>
      </c>
      <c r="I3" s="160" t="s">
        <v>1286</v>
      </c>
      <c r="J3" s="160" t="s">
        <v>1461</v>
      </c>
      <c r="K3" s="160" t="s">
        <v>1297</v>
      </c>
      <c r="L3" s="160" t="s">
        <v>1298</v>
      </c>
      <c r="M3" s="160" t="s">
        <v>1299</v>
      </c>
      <c r="N3" s="160" t="s">
        <v>1300</v>
      </c>
    </row>
    <row r="4" spans="1:14" ht="24.95" customHeight="1">
      <c r="A4" s="145" t="s">
        <v>1433</v>
      </c>
      <c r="B4" s="145"/>
      <c r="C4" s="147"/>
      <c r="D4" s="147"/>
      <c r="E4" s="135"/>
      <c r="F4" s="148"/>
    </row>
    <row r="5" spans="1:14" ht="24.95" customHeight="1">
      <c r="A5" s="145" t="s">
        <v>1434</v>
      </c>
      <c r="B5" s="145"/>
      <c r="C5" s="147"/>
      <c r="D5" s="147"/>
      <c r="E5" s="135"/>
      <c r="F5" s="152"/>
    </row>
    <row r="6" spans="1:14" ht="24.95" customHeight="1">
      <c r="A6" s="145" t="s">
        <v>1435</v>
      </c>
      <c r="B6" s="145"/>
      <c r="C6" s="147"/>
      <c r="D6" s="147"/>
      <c r="E6" s="157"/>
      <c r="F6" s="152"/>
    </row>
    <row r="7" spans="1:14" ht="24.95" customHeight="1">
      <c r="A7" s="145" t="s">
        <v>1436</v>
      </c>
      <c r="B7" s="145"/>
      <c r="C7" s="147"/>
      <c r="D7" s="147"/>
      <c r="E7" s="157"/>
      <c r="F7" s="152"/>
    </row>
    <row r="8" spans="1:14" ht="24.95" customHeight="1">
      <c r="A8" s="145" t="s">
        <v>1437</v>
      </c>
      <c r="B8" s="145">
        <v>120537</v>
      </c>
      <c r="C8" s="147">
        <v>239550</v>
      </c>
      <c r="D8" s="147">
        <v>125800</v>
      </c>
      <c r="E8" s="157">
        <f>(D8/B8-1)*100</f>
        <v>4.4000000000000004</v>
      </c>
      <c r="F8" s="152"/>
      <c r="I8" s="147">
        <v>108500</v>
      </c>
      <c r="J8" s="72">
        <v>2000</v>
      </c>
      <c r="K8" s="72">
        <v>5000</v>
      </c>
      <c r="M8" s="72">
        <v>300</v>
      </c>
      <c r="N8" s="72">
        <v>10000</v>
      </c>
    </row>
    <row r="9" spans="1:14" ht="24.95" customHeight="1">
      <c r="A9" s="145" t="s">
        <v>1438</v>
      </c>
      <c r="B9" s="145"/>
      <c r="C9" s="147"/>
      <c r="D9" s="147"/>
      <c r="E9" s="157"/>
      <c r="F9" s="152"/>
      <c r="I9" s="147"/>
    </row>
    <row r="10" spans="1:14" ht="24.95" customHeight="1">
      <c r="A10" s="145" t="s">
        <v>1439</v>
      </c>
      <c r="B10" s="145">
        <v>1900</v>
      </c>
      <c r="C10" s="147">
        <v>1809</v>
      </c>
      <c r="D10" s="147">
        <v>1800</v>
      </c>
      <c r="E10" s="157">
        <f t="shared" ref="E10:E11" si="0">(D10/B10-1)*100</f>
        <v>-5.3</v>
      </c>
      <c r="F10" s="152"/>
      <c r="I10" s="147">
        <v>1800</v>
      </c>
    </row>
    <row r="11" spans="1:14" ht="24.95" customHeight="1">
      <c r="A11" s="145" t="s">
        <v>1440</v>
      </c>
      <c r="B11" s="145">
        <v>1550</v>
      </c>
      <c r="C11" s="147">
        <v>12601</v>
      </c>
      <c r="D11" s="147">
        <v>4500</v>
      </c>
      <c r="E11" s="157">
        <f t="shared" si="0"/>
        <v>190.3</v>
      </c>
      <c r="F11" s="152"/>
      <c r="I11" s="147">
        <v>4500</v>
      </c>
    </row>
    <row r="12" spans="1:14" ht="24.95" customHeight="1">
      <c r="A12" s="145" t="s">
        <v>1441</v>
      </c>
      <c r="B12" s="145"/>
      <c r="C12" s="147"/>
      <c r="D12" s="147"/>
      <c r="E12" s="157"/>
      <c r="F12" s="152"/>
      <c r="I12" s="147"/>
    </row>
    <row r="13" spans="1:14" ht="24.95" customHeight="1">
      <c r="A13" s="145" t="s">
        <v>1442</v>
      </c>
      <c r="B13" s="145"/>
      <c r="C13" s="147"/>
      <c r="D13" s="147"/>
      <c r="E13" s="157"/>
      <c r="F13" s="152"/>
      <c r="I13" s="147"/>
    </row>
    <row r="14" spans="1:14" ht="24.95" customHeight="1">
      <c r="A14" s="145" t="s">
        <v>1443</v>
      </c>
      <c r="B14" s="145"/>
      <c r="C14" s="147"/>
      <c r="D14" s="147"/>
      <c r="E14" s="157"/>
      <c r="F14" s="152"/>
      <c r="I14" s="147"/>
    </row>
    <row r="15" spans="1:14" ht="24.95" customHeight="1">
      <c r="A15" s="145" t="s">
        <v>1444</v>
      </c>
      <c r="B15" s="145">
        <v>900</v>
      </c>
      <c r="C15" s="147">
        <v>918</v>
      </c>
      <c r="D15" s="147">
        <v>900</v>
      </c>
      <c r="E15" s="157">
        <f t="shared" ref="E15:E16" si="1">(D15/B15-1)*100</f>
        <v>0</v>
      </c>
      <c r="F15" s="152"/>
      <c r="I15" s="147">
        <v>900</v>
      </c>
    </row>
    <row r="16" spans="1:14" ht="24.95" customHeight="1">
      <c r="A16" s="149" t="s">
        <v>1445</v>
      </c>
      <c r="B16" s="149">
        <v>600</v>
      </c>
      <c r="C16" s="147">
        <v>853</v>
      </c>
      <c r="D16" s="147">
        <v>500</v>
      </c>
      <c r="E16" s="157">
        <f t="shared" si="1"/>
        <v>-16.7</v>
      </c>
      <c r="F16" s="163"/>
      <c r="I16" s="147">
        <v>500</v>
      </c>
    </row>
    <row r="17" spans="1:9" ht="24.95" customHeight="1">
      <c r="A17" s="145" t="s">
        <v>1446</v>
      </c>
      <c r="B17" s="145"/>
      <c r="C17" s="147"/>
      <c r="D17" s="147"/>
      <c r="E17" s="157"/>
      <c r="F17" s="152"/>
      <c r="I17" s="147"/>
    </row>
    <row r="18" spans="1:9" ht="24.95" customHeight="1">
      <c r="A18" s="145" t="s">
        <v>1462</v>
      </c>
      <c r="B18" s="145"/>
      <c r="C18" s="147"/>
      <c r="D18" s="147"/>
      <c r="E18" s="157"/>
      <c r="F18" s="152"/>
      <c r="I18" s="147"/>
    </row>
    <row r="19" spans="1:9" ht="24.95" customHeight="1">
      <c r="A19" s="150" t="s">
        <v>83</v>
      </c>
      <c r="B19" s="164">
        <f>SUM(B4:B18)</f>
        <v>125487</v>
      </c>
      <c r="C19" s="164">
        <f>SUM(C4:C18)</f>
        <v>255731</v>
      </c>
      <c r="D19" s="164">
        <f>SUM(D4:D18)</f>
        <v>133500</v>
      </c>
      <c r="E19" s="159">
        <f>(D19/B19-1)*100</f>
        <v>6.4</v>
      </c>
      <c r="F19" s="152"/>
    </row>
    <row r="20" spans="1:9" ht="24.95" customHeight="1">
      <c r="A20" s="145" t="s">
        <v>163</v>
      </c>
      <c r="B20" s="145"/>
      <c r="C20" s="164"/>
      <c r="D20" s="147">
        <f>D21</f>
        <v>2800</v>
      </c>
      <c r="E20" s="157"/>
      <c r="F20" s="152"/>
    </row>
    <row r="21" spans="1:9" ht="24.95" customHeight="1">
      <c r="A21" s="145" t="s">
        <v>1463</v>
      </c>
      <c r="B21" s="145"/>
      <c r="C21" s="165"/>
      <c r="D21" s="147">
        <f>D22</f>
        <v>2800</v>
      </c>
      <c r="E21" s="166"/>
      <c r="F21" s="152"/>
    </row>
    <row r="22" spans="1:9" ht="24.95" customHeight="1">
      <c r="A22" s="145" t="s">
        <v>1464</v>
      </c>
      <c r="B22" s="145"/>
      <c r="C22" s="165"/>
      <c r="D22" s="147">
        <v>2800</v>
      </c>
      <c r="E22" s="166"/>
      <c r="F22" s="152"/>
    </row>
    <row r="23" spans="1:9" ht="24.95" customHeight="1">
      <c r="A23" s="150" t="s">
        <v>172</v>
      </c>
      <c r="B23" s="150"/>
      <c r="C23" s="167"/>
      <c r="D23" s="167">
        <f>SUM(D19:D20)</f>
        <v>136300</v>
      </c>
      <c r="E23" s="164"/>
      <c r="F23" s="152"/>
    </row>
    <row r="24" spans="1:9" ht="18" customHeight="1">
      <c r="A24" s="70"/>
      <c r="B24" s="71"/>
    </row>
  </sheetData>
  <mergeCells count="1">
    <mergeCell ref="A1:F1"/>
  </mergeCells>
  <phoneticPr fontId="54" type="noConversion"/>
  <printOptions horizontalCentered="1"/>
  <pageMargins left="0.74791666666666701" right="0.74791666666666701" top="0.78680555555555598" bottom="0.98402777777777795" header="0.51180555555555596" footer="0.51180555555555596"/>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8"/>
  <sheetViews>
    <sheetView showZeros="0" workbookViewId="0">
      <pane xSplit="1" ySplit="3" topLeftCell="B4" activePane="bottomRight" state="frozen"/>
      <selection pane="topRight"/>
      <selection pane="bottomLeft"/>
      <selection pane="bottomRight" activeCell="C4" sqref="C4:C13"/>
    </sheetView>
  </sheetViews>
  <sheetFormatPr defaultColWidth="9.125" defaultRowHeight="13.5"/>
  <cols>
    <col min="1" max="1" width="31.875" style="121" customWidth="1"/>
    <col min="2" max="4" width="8.625" style="121" customWidth="1"/>
    <col min="5" max="5" width="9.625" style="121" customWidth="1"/>
    <col min="6" max="6" width="10.875" style="121" customWidth="1"/>
    <col min="7" max="8" width="9.125" style="121" customWidth="1"/>
    <col min="9" max="14" width="9.125" style="121" hidden="1" customWidth="1"/>
    <col min="15" max="15" width="9.125" style="121" customWidth="1"/>
    <col min="16" max="16384" width="9.125" style="121"/>
  </cols>
  <sheetData>
    <row r="1" spans="1:14" s="130" customFormat="1" ht="30" customHeight="1">
      <c r="A1" s="349" t="s">
        <v>1465</v>
      </c>
      <c r="B1" s="349"/>
      <c r="C1" s="349"/>
      <c r="D1" s="349"/>
      <c r="E1" s="349"/>
      <c r="F1" s="349"/>
    </row>
    <row r="2" spans="1:14" s="120" customFormat="1" ht="20.100000000000001" customHeight="1">
      <c r="A2" s="131" t="s">
        <v>1466</v>
      </c>
      <c r="B2" s="131"/>
      <c r="D2" s="132"/>
      <c r="F2" s="110" t="s">
        <v>86</v>
      </c>
    </row>
    <row r="3" spans="1:14" ht="40.5">
      <c r="A3" s="122" t="s">
        <v>204</v>
      </c>
      <c r="B3" s="58" t="s">
        <v>176</v>
      </c>
      <c r="C3" s="59" t="s">
        <v>138</v>
      </c>
      <c r="D3" s="59" t="s">
        <v>139</v>
      </c>
      <c r="E3" s="60" t="s">
        <v>1460</v>
      </c>
      <c r="F3" s="59" t="s">
        <v>88</v>
      </c>
      <c r="I3" s="160" t="s">
        <v>1286</v>
      </c>
      <c r="J3" s="160" t="s">
        <v>1461</v>
      </c>
      <c r="K3" s="160" t="s">
        <v>1297</v>
      </c>
      <c r="L3" s="160" t="s">
        <v>1298</v>
      </c>
      <c r="M3" s="160" t="s">
        <v>1299</v>
      </c>
      <c r="N3" s="160" t="s">
        <v>1300</v>
      </c>
    </row>
    <row r="4" spans="1:14" ht="24.95" customHeight="1">
      <c r="A4" s="125" t="s">
        <v>1261</v>
      </c>
      <c r="B4" s="125"/>
      <c r="C4" s="134">
        <v>70</v>
      </c>
      <c r="D4" s="124"/>
      <c r="E4" s="135"/>
      <c r="F4" s="136"/>
      <c r="I4" s="124"/>
    </row>
    <row r="5" spans="1:14" ht="24.95" customHeight="1">
      <c r="A5" s="125" t="s">
        <v>1262</v>
      </c>
      <c r="B5" s="133">
        <v>500</v>
      </c>
      <c r="C5" s="133">
        <v>672</v>
      </c>
      <c r="D5" s="124"/>
      <c r="E5" s="135"/>
      <c r="F5" s="136"/>
      <c r="I5" s="124"/>
    </row>
    <row r="6" spans="1:14" ht="24.95" customHeight="1">
      <c r="A6" s="125" t="s">
        <v>1265</v>
      </c>
      <c r="B6" s="133">
        <v>75585</v>
      </c>
      <c r="C6" s="133">
        <v>114419</v>
      </c>
      <c r="D6" s="124">
        <v>79872</v>
      </c>
      <c r="E6" s="157">
        <f>(D6/B6-1)*100</f>
        <v>5.7</v>
      </c>
      <c r="F6" s="136"/>
      <c r="I6" s="124">
        <v>63900</v>
      </c>
      <c r="J6" s="121">
        <v>2000</v>
      </c>
      <c r="K6" s="121">
        <v>5000</v>
      </c>
      <c r="M6" s="121">
        <v>300</v>
      </c>
      <c r="N6" s="121">
        <v>8672</v>
      </c>
    </row>
    <row r="7" spans="1:14" ht="24.95" customHeight="1">
      <c r="A7" s="125" t="s">
        <v>1266</v>
      </c>
      <c r="B7" s="133"/>
      <c r="C7" s="133">
        <v>350</v>
      </c>
      <c r="D7" s="124"/>
      <c r="E7" s="157"/>
      <c r="F7" s="137"/>
      <c r="I7" s="124"/>
    </row>
    <row r="8" spans="1:14" ht="24.95" customHeight="1">
      <c r="A8" s="125" t="s">
        <v>1267</v>
      </c>
      <c r="B8" s="133"/>
      <c r="C8" s="133"/>
      <c r="D8" s="124"/>
      <c r="E8" s="157"/>
      <c r="F8" s="137"/>
      <c r="I8" s="124"/>
    </row>
    <row r="9" spans="1:14" ht="24.95" customHeight="1">
      <c r="A9" s="125" t="s">
        <v>1451</v>
      </c>
      <c r="B9" s="133"/>
      <c r="C9" s="133"/>
      <c r="D9" s="124"/>
      <c r="E9" s="157"/>
      <c r="F9" s="137"/>
      <c r="I9" s="124"/>
    </row>
    <row r="10" spans="1:14" ht="24.95" customHeight="1">
      <c r="A10" s="125" t="s">
        <v>1212</v>
      </c>
      <c r="B10" s="133">
        <v>2500</v>
      </c>
      <c r="C10" s="133">
        <v>244383</v>
      </c>
      <c r="D10" s="124">
        <f>3001+300</f>
        <v>3301</v>
      </c>
      <c r="E10" s="157">
        <f>(D10/B10-1)*100</f>
        <v>32</v>
      </c>
      <c r="F10" s="137"/>
      <c r="I10" s="124">
        <v>2600</v>
      </c>
      <c r="N10" s="121">
        <v>401</v>
      </c>
    </row>
    <row r="11" spans="1:14" ht="24.95" customHeight="1">
      <c r="A11" s="125" t="s">
        <v>1277</v>
      </c>
      <c r="B11" s="133">
        <v>1765</v>
      </c>
      <c r="C11" s="133">
        <v>9205</v>
      </c>
      <c r="D11" s="124">
        <f>927+2200</f>
        <v>3127</v>
      </c>
      <c r="E11" s="157">
        <f>(D11/B11-1)*100</f>
        <v>77.2</v>
      </c>
      <c r="F11" s="136"/>
      <c r="I11" s="124"/>
      <c r="N11" s="121">
        <v>927</v>
      </c>
    </row>
    <row r="12" spans="1:14" ht="24.95" customHeight="1">
      <c r="A12" s="145" t="s">
        <v>1278</v>
      </c>
      <c r="B12" s="158"/>
      <c r="C12" s="133">
        <v>267</v>
      </c>
      <c r="D12" s="124"/>
      <c r="E12" s="157"/>
      <c r="F12" s="136"/>
      <c r="I12" s="124"/>
    </row>
    <row r="13" spans="1:14" ht="24.95" customHeight="1">
      <c r="A13" s="125" t="s">
        <v>1452</v>
      </c>
      <c r="B13" s="125"/>
      <c r="C13" s="133">
        <v>45098</v>
      </c>
      <c r="D13" s="133"/>
      <c r="E13" s="157"/>
      <c r="F13" s="137"/>
      <c r="I13" s="133"/>
    </row>
    <row r="14" spans="1:14" ht="24.95" customHeight="1">
      <c r="A14" s="138" t="s">
        <v>113</v>
      </c>
      <c r="B14" s="127">
        <f>SUM(B4:B13)</f>
        <v>80350</v>
      </c>
      <c r="C14" s="127">
        <f>SUM(C4:C13)</f>
        <v>414464</v>
      </c>
      <c r="D14" s="127">
        <f>SUM(D4:D13)</f>
        <v>86300</v>
      </c>
      <c r="E14" s="159">
        <f>(D14/B14-1)*100</f>
        <v>7.4</v>
      </c>
      <c r="F14" s="137"/>
    </row>
    <row r="15" spans="1:14" ht="24.95" customHeight="1">
      <c r="A15" s="140" t="s">
        <v>1467</v>
      </c>
      <c r="B15" s="140"/>
      <c r="C15" s="127"/>
      <c r="D15" s="124">
        <v>50000</v>
      </c>
      <c r="E15" s="141"/>
      <c r="F15" s="137"/>
    </row>
    <row r="16" spans="1:14" ht="24.95" customHeight="1">
      <c r="A16" s="140" t="s">
        <v>1468</v>
      </c>
      <c r="B16" s="140"/>
      <c r="C16" s="127"/>
      <c r="D16" s="124">
        <v>50000</v>
      </c>
      <c r="E16" s="141"/>
      <c r="F16" s="137"/>
    </row>
    <row r="17" spans="1:7" ht="24.95" customHeight="1">
      <c r="A17" s="138" t="s">
        <v>201</v>
      </c>
      <c r="B17" s="138"/>
      <c r="C17" s="127"/>
      <c r="D17" s="127">
        <f>D14+D15</f>
        <v>136300</v>
      </c>
      <c r="E17" s="141"/>
      <c r="F17" s="137"/>
      <c r="G17" s="105"/>
    </row>
    <row r="18" spans="1:7" ht="17.100000000000001" customHeight="1">
      <c r="A18" s="351"/>
      <c r="B18" s="351"/>
      <c r="C18" s="351"/>
    </row>
  </sheetData>
  <mergeCells count="2">
    <mergeCell ref="A1:F1"/>
    <mergeCell ref="A18:C18"/>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25"/>
  <sheetViews>
    <sheetView workbookViewId="0">
      <pane ySplit="3" topLeftCell="A10" activePane="bottomLeft" state="frozen"/>
      <selection pane="bottomLeft" activeCell="I16" sqref="I16"/>
    </sheetView>
  </sheetViews>
  <sheetFormatPr defaultColWidth="7.875" defaultRowHeight="12.75"/>
  <cols>
    <col min="1" max="1" width="26.75" style="72" customWidth="1"/>
    <col min="2" max="2" width="10.375" style="72" customWidth="1"/>
    <col min="3" max="4" width="9.875" style="72" customWidth="1"/>
    <col min="5" max="5" width="12.125" style="72" customWidth="1"/>
    <col min="6" max="6" width="9.25" style="72" customWidth="1"/>
    <col min="7" max="7" width="7.875" style="72" customWidth="1"/>
    <col min="8" max="8" width="7.875" style="72"/>
    <col min="9" max="9" width="11.125" style="72"/>
    <col min="10" max="16384" width="7.875" style="72"/>
  </cols>
  <sheetData>
    <row r="1" spans="1:6" s="142" customFormat="1" ht="30" customHeight="1">
      <c r="A1" s="349" t="s">
        <v>1469</v>
      </c>
      <c r="B1" s="349"/>
      <c r="C1" s="349"/>
      <c r="D1" s="349"/>
      <c r="E1" s="349"/>
      <c r="F1" s="349"/>
    </row>
    <row r="2" spans="1:6" s="143" customFormat="1" ht="20.100000000000001" customHeight="1">
      <c r="A2" s="57" t="s">
        <v>1470</v>
      </c>
      <c r="B2" s="57"/>
      <c r="C2" s="144"/>
      <c r="D2" s="144"/>
      <c r="F2" s="7" t="s">
        <v>86</v>
      </c>
    </row>
    <row r="3" spans="1:6" ht="40.5">
      <c r="A3" s="8" t="s">
        <v>137</v>
      </c>
      <c r="B3" s="58" t="s">
        <v>176</v>
      </c>
      <c r="C3" s="59" t="s">
        <v>138</v>
      </c>
      <c r="D3" s="59" t="s">
        <v>139</v>
      </c>
      <c r="E3" s="60" t="s">
        <v>1460</v>
      </c>
      <c r="F3" s="60" t="s">
        <v>88</v>
      </c>
    </row>
    <row r="4" spans="1:6" ht="24.95" customHeight="1">
      <c r="A4" s="145" t="s">
        <v>1433</v>
      </c>
      <c r="B4" s="146"/>
      <c r="C4" s="146"/>
      <c r="D4" s="147"/>
      <c r="E4" s="68"/>
      <c r="F4" s="148"/>
    </row>
    <row r="5" spans="1:6" ht="24.95" customHeight="1">
      <c r="A5" s="145" t="s">
        <v>1434</v>
      </c>
      <c r="B5" s="146"/>
      <c r="C5" s="146"/>
      <c r="D5" s="147"/>
      <c r="E5" s="68"/>
      <c r="F5" s="148"/>
    </row>
    <row r="6" spans="1:6" ht="24.95" customHeight="1">
      <c r="A6" s="145" t="s">
        <v>1435</v>
      </c>
      <c r="B6" s="146"/>
      <c r="C6" s="146"/>
      <c r="D6" s="147"/>
      <c r="E6" s="61"/>
      <c r="F6" s="148"/>
    </row>
    <row r="7" spans="1:6" ht="24.95" customHeight="1">
      <c r="A7" s="145" t="s">
        <v>1436</v>
      </c>
      <c r="B7" s="146"/>
      <c r="C7" s="146"/>
      <c r="D7" s="147"/>
      <c r="E7" s="61"/>
      <c r="F7" s="148"/>
    </row>
    <row r="8" spans="1:6" ht="24.95" customHeight="1">
      <c r="A8" s="145" t="s">
        <v>1437</v>
      </c>
      <c r="B8" s="146">
        <v>109400</v>
      </c>
      <c r="C8" s="146">
        <v>215194</v>
      </c>
      <c r="D8" s="147">
        <v>108500</v>
      </c>
      <c r="E8" s="61">
        <f t="shared" ref="E8" si="0">(D8/B8-1)*100</f>
        <v>-0.8</v>
      </c>
      <c r="F8" s="148"/>
    </row>
    <row r="9" spans="1:6" ht="24.95" customHeight="1">
      <c r="A9" s="145" t="s">
        <v>1438</v>
      </c>
      <c r="B9" s="146"/>
      <c r="C9" s="146"/>
      <c r="D9" s="147"/>
      <c r="E9" s="61"/>
      <c r="F9" s="148"/>
    </row>
    <row r="10" spans="1:6" ht="24.95" customHeight="1">
      <c r="A10" s="145" t="s">
        <v>1439</v>
      </c>
      <c r="B10" s="146">
        <v>1900</v>
      </c>
      <c r="C10" s="146">
        <v>1809</v>
      </c>
      <c r="D10" s="147">
        <v>1800</v>
      </c>
      <c r="E10" s="61">
        <f>(D10/B10-1)*100</f>
        <v>-5.3</v>
      </c>
      <c r="F10" s="148"/>
    </row>
    <row r="11" spans="1:6" ht="24.95" customHeight="1">
      <c r="A11" s="145" t="s">
        <v>1440</v>
      </c>
      <c r="B11" s="146">
        <v>1437</v>
      </c>
      <c r="C11" s="146">
        <v>12377</v>
      </c>
      <c r="D11" s="147">
        <v>4500</v>
      </c>
      <c r="E11" s="61">
        <f>(D11/B11-1)*100</f>
        <v>213.2</v>
      </c>
      <c r="F11" s="148"/>
    </row>
    <row r="12" spans="1:6" ht="24.95" customHeight="1">
      <c r="A12" s="145" t="s">
        <v>1441</v>
      </c>
      <c r="B12" s="146"/>
      <c r="C12" s="146"/>
      <c r="D12" s="147"/>
      <c r="E12" s="61"/>
      <c r="F12" s="148"/>
    </row>
    <row r="13" spans="1:6" ht="24.95" customHeight="1">
      <c r="A13" s="145" t="s">
        <v>1442</v>
      </c>
      <c r="B13" s="146"/>
      <c r="C13" s="146"/>
      <c r="D13" s="147"/>
      <c r="E13" s="61"/>
      <c r="F13" s="148"/>
    </row>
    <row r="14" spans="1:6" ht="24.95" customHeight="1">
      <c r="A14" s="145" t="s">
        <v>1443</v>
      </c>
      <c r="B14" s="146"/>
      <c r="C14" s="146"/>
      <c r="D14" s="147"/>
      <c r="E14" s="61"/>
      <c r="F14" s="148"/>
    </row>
    <row r="15" spans="1:6" ht="24.95" customHeight="1">
      <c r="A15" s="145" t="s">
        <v>1444</v>
      </c>
      <c r="B15" s="146">
        <v>900</v>
      </c>
      <c r="C15" s="146">
        <v>864</v>
      </c>
      <c r="D15" s="147">
        <v>900</v>
      </c>
      <c r="E15" s="61">
        <f t="shared" ref="E15:E16" si="1">(D15/B15-1)*100</f>
        <v>0</v>
      </c>
      <c r="F15" s="148"/>
    </row>
    <row r="16" spans="1:6" ht="24.95" customHeight="1">
      <c r="A16" s="149" t="s">
        <v>1445</v>
      </c>
      <c r="B16" s="146">
        <v>600</v>
      </c>
      <c r="C16" s="146">
        <v>853</v>
      </c>
      <c r="D16" s="147">
        <v>500</v>
      </c>
      <c r="E16" s="61">
        <f t="shared" si="1"/>
        <v>-16.7</v>
      </c>
      <c r="F16" s="148"/>
    </row>
    <row r="17" spans="1:256" ht="24.95" customHeight="1">
      <c r="A17" s="145" t="s">
        <v>1446</v>
      </c>
      <c r="B17" s="145"/>
      <c r="C17" s="146"/>
      <c r="D17" s="147"/>
      <c r="E17" s="61"/>
      <c r="F17" s="148"/>
    </row>
    <row r="18" spans="1:256" ht="24.95" customHeight="1">
      <c r="A18" s="145" t="s">
        <v>1462</v>
      </c>
      <c r="B18" s="145"/>
      <c r="C18" s="146"/>
      <c r="D18" s="147"/>
      <c r="E18" s="61"/>
      <c r="F18" s="148"/>
    </row>
    <row r="19" spans="1:256" ht="24.95" customHeight="1">
      <c r="A19" s="149"/>
      <c r="B19" s="149"/>
      <c r="C19" s="146"/>
      <c r="D19" s="146"/>
      <c r="E19" s="61"/>
      <c r="F19" s="148"/>
    </row>
    <row r="20" spans="1:256" ht="24.95" customHeight="1">
      <c r="A20" s="150" t="s">
        <v>83</v>
      </c>
      <c r="B20" s="151">
        <f>SUM(B4:B19)</f>
        <v>114237</v>
      </c>
      <c r="C20" s="151">
        <f>SUM(C4:C19)</f>
        <v>231097</v>
      </c>
      <c r="D20" s="151">
        <f>SUM(D4:D19)</f>
        <v>116200</v>
      </c>
      <c r="E20" s="62">
        <f>(D20/B20-1)*100</f>
        <v>1.7</v>
      </c>
      <c r="F20" s="152"/>
    </row>
    <row r="21" spans="1:256" ht="24.95" customHeight="1">
      <c r="A21" s="145" t="s">
        <v>163</v>
      </c>
      <c r="B21" s="145"/>
      <c r="C21" s="153"/>
      <c r="D21" s="147">
        <f>D22</f>
        <v>2800</v>
      </c>
      <c r="E21" s="154"/>
      <c r="F21" s="152"/>
    </row>
    <row r="22" spans="1:256" ht="24.95" customHeight="1">
      <c r="A22" s="145" t="s">
        <v>1463</v>
      </c>
      <c r="B22" s="145"/>
      <c r="C22" s="153"/>
      <c r="D22" s="147">
        <f>D23</f>
        <v>2800</v>
      </c>
      <c r="E22" s="155"/>
      <c r="F22" s="156"/>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4.95" customHeight="1">
      <c r="A23" s="145" t="s">
        <v>1471</v>
      </c>
      <c r="B23" s="145"/>
      <c r="C23" s="153"/>
      <c r="D23" s="147">
        <v>2800</v>
      </c>
      <c r="E23" s="155"/>
      <c r="F23" s="156"/>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5" customHeight="1">
      <c r="A24" s="150" t="s">
        <v>172</v>
      </c>
      <c r="B24" s="150"/>
      <c r="C24" s="153"/>
      <c r="D24" s="151">
        <f>D20+D21</f>
        <v>119000</v>
      </c>
      <c r="E24" s="155"/>
      <c r="F24" s="156"/>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3.5">
      <c r="A25" s="70"/>
      <c r="B25" s="71"/>
    </row>
  </sheetData>
  <mergeCells count="1">
    <mergeCell ref="A1:F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21"/>
  <sheetViews>
    <sheetView showZeros="0" view="pageBreakPreview" zoomScale="115" zoomScaleNormal="100" zoomScaleSheetLayoutView="115" workbookViewId="0">
      <selection activeCell="K14" sqref="K14"/>
    </sheetView>
  </sheetViews>
  <sheetFormatPr defaultColWidth="9.125" defaultRowHeight="13.5"/>
  <cols>
    <col min="1" max="1" width="30.375" style="121" customWidth="1"/>
    <col min="2" max="3" width="9.25" style="121" customWidth="1"/>
    <col min="4" max="4" width="9.375" style="121" customWidth="1"/>
    <col min="5" max="5" width="9.25" style="121" customWidth="1"/>
    <col min="6" max="6" width="10.375" style="121" customWidth="1"/>
    <col min="7" max="7" width="9.125" style="121" customWidth="1"/>
    <col min="8" max="16384" width="9.125" style="121"/>
  </cols>
  <sheetData>
    <row r="1" spans="1:6" s="130" customFormat="1" ht="30" customHeight="1">
      <c r="A1" s="349" t="s">
        <v>1472</v>
      </c>
      <c r="B1" s="349"/>
      <c r="C1" s="349"/>
      <c r="D1" s="349"/>
      <c r="E1" s="349"/>
      <c r="F1" s="349"/>
    </row>
    <row r="2" spans="1:6" s="120" customFormat="1" ht="20.100000000000001" customHeight="1">
      <c r="A2" s="131" t="s">
        <v>1473</v>
      </c>
      <c r="B2" s="131"/>
      <c r="D2" s="132"/>
      <c r="F2" s="110" t="s">
        <v>86</v>
      </c>
    </row>
    <row r="3" spans="1:6" ht="54">
      <c r="A3" s="122" t="s">
        <v>204</v>
      </c>
      <c r="B3" s="58" t="s">
        <v>176</v>
      </c>
      <c r="C3" s="59" t="s">
        <v>138</v>
      </c>
      <c r="D3" s="59" t="s">
        <v>139</v>
      </c>
      <c r="E3" s="60" t="s">
        <v>1460</v>
      </c>
      <c r="F3" s="59" t="s">
        <v>88</v>
      </c>
    </row>
    <row r="4" spans="1:6" ht="24.95" customHeight="1">
      <c r="A4" s="125" t="s">
        <v>1261</v>
      </c>
      <c r="B4" s="133"/>
      <c r="C4" s="134"/>
      <c r="D4" s="124"/>
      <c r="E4" s="135"/>
      <c r="F4" s="136"/>
    </row>
    <row r="5" spans="1:6" ht="24.95" customHeight="1">
      <c r="A5" s="125" t="s">
        <v>1262</v>
      </c>
      <c r="B5" s="133"/>
      <c r="C5" s="133"/>
      <c r="D5" s="124"/>
      <c r="E5" s="135"/>
      <c r="F5" s="136"/>
    </row>
    <row r="6" spans="1:6" ht="24.95" customHeight="1">
      <c r="A6" s="125" t="s">
        <v>1265</v>
      </c>
      <c r="B6" s="133">
        <v>64400</v>
      </c>
      <c r="C6" s="133">
        <v>58750</v>
      </c>
      <c r="D6" s="124">
        <v>63900</v>
      </c>
      <c r="E6" s="135">
        <f>(D6/B6-1)*100</f>
        <v>-0.78</v>
      </c>
      <c r="F6" s="136"/>
    </row>
    <row r="7" spans="1:6" ht="24.95" customHeight="1">
      <c r="A7" s="125" t="s">
        <v>1266</v>
      </c>
      <c r="B7" s="133"/>
      <c r="C7" s="133"/>
      <c r="D7" s="124"/>
      <c r="E7" s="135"/>
      <c r="F7" s="137"/>
    </row>
    <row r="8" spans="1:6" ht="24.95" customHeight="1">
      <c r="A8" s="125" t="s">
        <v>1267</v>
      </c>
      <c r="B8" s="133"/>
      <c r="C8" s="133"/>
      <c r="D8" s="124"/>
      <c r="E8" s="135"/>
      <c r="F8" s="137"/>
    </row>
    <row r="9" spans="1:6" ht="24.95" customHeight="1">
      <c r="A9" s="125" t="s">
        <v>1451</v>
      </c>
      <c r="B9" s="133"/>
      <c r="C9" s="133"/>
      <c r="D9" s="124"/>
      <c r="E9" s="135"/>
      <c r="F9" s="137"/>
    </row>
    <row r="10" spans="1:6" ht="24.95" customHeight="1">
      <c r="A10" s="125" t="s">
        <v>1212</v>
      </c>
      <c r="B10" s="133">
        <v>2500</v>
      </c>
      <c r="C10" s="133">
        <v>134710</v>
      </c>
      <c r="D10" s="124">
        <v>2600</v>
      </c>
      <c r="E10" s="135">
        <f>(D10/B10-1)*100</f>
        <v>4</v>
      </c>
      <c r="F10" s="137"/>
    </row>
    <row r="11" spans="1:6" ht="24.95" customHeight="1">
      <c r="A11" s="125" t="s">
        <v>1277</v>
      </c>
      <c r="B11" s="133"/>
      <c r="C11" s="133">
        <v>5562</v>
      </c>
      <c r="D11" s="124"/>
      <c r="E11" s="135"/>
      <c r="F11" s="136"/>
    </row>
    <row r="12" spans="1:6" ht="24.95" customHeight="1">
      <c r="A12" s="125" t="s">
        <v>1278</v>
      </c>
      <c r="B12" s="133"/>
      <c r="C12" s="133">
        <v>144</v>
      </c>
      <c r="D12" s="124"/>
      <c r="E12" s="135"/>
      <c r="F12" s="136"/>
    </row>
    <row r="13" spans="1:6" ht="24.95" customHeight="1">
      <c r="A13" s="125" t="s">
        <v>1452</v>
      </c>
      <c r="B13" s="133"/>
      <c r="C13" s="133">
        <v>13893</v>
      </c>
      <c r="D13" s="133"/>
      <c r="E13" s="135"/>
      <c r="F13" s="137"/>
    </row>
    <row r="14" spans="1:6" ht="24.95" customHeight="1">
      <c r="A14" s="138" t="s">
        <v>113</v>
      </c>
      <c r="B14" s="127">
        <f>SUM(B4:B13)</f>
        <v>66900</v>
      </c>
      <c r="C14" s="127">
        <f>SUM(C4:C13)</f>
        <v>213059</v>
      </c>
      <c r="D14" s="127">
        <f>SUM(D4:D13)</f>
        <v>66500</v>
      </c>
      <c r="E14" s="139">
        <f>(D14/B14-1)*100</f>
        <v>-0.6</v>
      </c>
      <c r="F14" s="137"/>
    </row>
    <row r="15" spans="1:6" ht="24.95" customHeight="1">
      <c r="A15" s="140" t="s">
        <v>216</v>
      </c>
      <c r="B15" s="140"/>
      <c r="C15" s="127"/>
      <c r="D15" s="124">
        <f>D16+D18</f>
        <v>52500</v>
      </c>
      <c r="E15" s="141"/>
      <c r="F15" s="137"/>
    </row>
    <row r="16" spans="1:6" ht="24.95" customHeight="1">
      <c r="A16" s="140" t="s">
        <v>1474</v>
      </c>
      <c r="B16" s="140"/>
      <c r="C16" s="127"/>
      <c r="D16" s="124">
        <f>D17</f>
        <v>2500</v>
      </c>
      <c r="E16" s="141"/>
      <c r="F16" s="137"/>
    </row>
    <row r="17" spans="1:7" ht="24.95" customHeight="1">
      <c r="A17" s="140" t="s">
        <v>1475</v>
      </c>
      <c r="B17" s="140"/>
      <c r="C17" s="127"/>
      <c r="D17" s="124">
        <v>2500</v>
      </c>
      <c r="E17" s="141"/>
      <c r="F17" s="137"/>
    </row>
    <row r="18" spans="1:7" ht="24.95" customHeight="1">
      <c r="A18" s="140" t="s">
        <v>1467</v>
      </c>
      <c r="B18" s="140"/>
      <c r="C18" s="127"/>
      <c r="D18" s="124">
        <f>D19+D21</f>
        <v>50000</v>
      </c>
      <c r="E18" s="141"/>
      <c r="F18" s="137"/>
    </row>
    <row r="19" spans="1:7" ht="24.95" customHeight="1">
      <c r="A19" s="140" t="s">
        <v>1468</v>
      </c>
      <c r="B19" s="140"/>
      <c r="C19" s="127"/>
      <c r="D19" s="124">
        <v>50000</v>
      </c>
      <c r="E19" s="141"/>
      <c r="F19" s="137"/>
    </row>
    <row r="20" spans="1:7" ht="24.95" customHeight="1">
      <c r="A20" s="138" t="s">
        <v>201</v>
      </c>
      <c r="B20" s="138"/>
      <c r="C20" s="127"/>
      <c r="D20" s="127">
        <f>D14+D15</f>
        <v>119000</v>
      </c>
      <c r="E20" s="141"/>
      <c r="F20" s="137"/>
      <c r="G20" s="105"/>
    </row>
    <row r="21" spans="1:7" ht="17.100000000000001" customHeight="1">
      <c r="A21" s="351"/>
      <c r="B21" s="351"/>
      <c r="C21" s="351"/>
    </row>
  </sheetData>
  <mergeCells count="2">
    <mergeCell ref="A1:F1"/>
    <mergeCell ref="A21:C2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63"/>
  <sheetViews>
    <sheetView showZeros="0" workbookViewId="0">
      <selection activeCell="A70" sqref="A70"/>
    </sheetView>
  </sheetViews>
  <sheetFormatPr defaultColWidth="9.125" defaultRowHeight="13.5"/>
  <cols>
    <col min="1" max="1" width="57.25" style="121" customWidth="1"/>
    <col min="2" max="2" width="18.375" style="121" customWidth="1"/>
    <col min="3" max="3" width="9.125" style="121" customWidth="1"/>
    <col min="4" max="16384" width="9.125" style="121"/>
  </cols>
  <sheetData>
    <row r="1" spans="1:2" s="119" customFormat="1" ht="30" customHeight="1">
      <c r="A1" s="349" t="s">
        <v>1476</v>
      </c>
      <c r="B1" s="349"/>
    </row>
    <row r="2" spans="1:2" s="120" customFormat="1" ht="20.100000000000001" customHeight="1">
      <c r="A2" s="57" t="s">
        <v>1477</v>
      </c>
      <c r="B2" s="110" t="s">
        <v>86</v>
      </c>
    </row>
    <row r="3" spans="1:2" ht="20.100000000000001" customHeight="1">
      <c r="A3" s="122" t="s">
        <v>204</v>
      </c>
      <c r="B3" s="59" t="s">
        <v>223</v>
      </c>
    </row>
    <row r="4" spans="1:2" ht="20.100000000000001" hidden="1" customHeight="1">
      <c r="A4" s="123" t="s">
        <v>1478</v>
      </c>
      <c r="B4" s="124">
        <f>B5+B11+B17</f>
        <v>0</v>
      </c>
    </row>
    <row r="5" spans="1:2" ht="20.100000000000001" hidden="1" customHeight="1">
      <c r="A5" s="123" t="s">
        <v>1479</v>
      </c>
      <c r="B5" s="124">
        <f>SUM(B6:B10)</f>
        <v>0</v>
      </c>
    </row>
    <row r="6" spans="1:2" ht="20.100000000000001" hidden="1" customHeight="1">
      <c r="A6" s="125" t="s">
        <v>1480</v>
      </c>
      <c r="B6" s="124"/>
    </row>
    <row r="7" spans="1:2" ht="21" hidden="1" customHeight="1">
      <c r="A7" s="125" t="s">
        <v>1481</v>
      </c>
      <c r="B7" s="124"/>
    </row>
    <row r="8" spans="1:2" ht="21" hidden="1" customHeight="1">
      <c r="A8" s="125" t="s">
        <v>1482</v>
      </c>
      <c r="B8" s="124"/>
    </row>
    <row r="9" spans="1:2" ht="21" hidden="1" customHeight="1">
      <c r="A9" s="125" t="s">
        <v>1483</v>
      </c>
      <c r="B9" s="124"/>
    </row>
    <row r="10" spans="1:2" ht="21" hidden="1" customHeight="1">
      <c r="A10" s="125" t="s">
        <v>1484</v>
      </c>
      <c r="B10" s="124"/>
    </row>
    <row r="11" spans="1:2" ht="21" hidden="1" customHeight="1">
      <c r="A11" s="125" t="s">
        <v>1485</v>
      </c>
      <c r="B11" s="124">
        <f>SUM(B12:B16)</f>
        <v>0</v>
      </c>
    </row>
    <row r="12" spans="1:2" ht="21" hidden="1" customHeight="1">
      <c r="A12" s="125" t="s">
        <v>1486</v>
      </c>
      <c r="B12" s="124"/>
    </row>
    <row r="13" spans="1:2" ht="21" hidden="1" customHeight="1">
      <c r="A13" s="125" t="s">
        <v>1487</v>
      </c>
      <c r="B13" s="124"/>
    </row>
    <row r="14" spans="1:2" ht="21" hidden="1" customHeight="1">
      <c r="A14" s="125" t="s">
        <v>1488</v>
      </c>
      <c r="B14" s="124"/>
    </row>
    <row r="15" spans="1:2" ht="21" hidden="1" customHeight="1">
      <c r="A15" s="125" t="s">
        <v>1489</v>
      </c>
      <c r="B15" s="124"/>
    </row>
    <row r="16" spans="1:2" ht="21" hidden="1" customHeight="1">
      <c r="A16" s="125" t="s">
        <v>1490</v>
      </c>
      <c r="B16" s="124"/>
    </row>
    <row r="17" spans="1:2" ht="21" hidden="1" customHeight="1">
      <c r="A17" s="125" t="s">
        <v>1491</v>
      </c>
      <c r="B17" s="124">
        <f>SUM(B18:B19)</f>
        <v>0</v>
      </c>
    </row>
    <row r="18" spans="1:2" ht="21" hidden="1" customHeight="1">
      <c r="A18" s="125" t="s">
        <v>1492</v>
      </c>
      <c r="B18" s="124"/>
    </row>
    <row r="19" spans="1:2" ht="21" hidden="1" customHeight="1">
      <c r="A19" s="125" t="s">
        <v>1493</v>
      </c>
      <c r="B19" s="124"/>
    </row>
    <row r="20" spans="1:2" ht="21" hidden="1" customHeight="1">
      <c r="A20" s="125" t="s">
        <v>1494</v>
      </c>
      <c r="B20" s="124">
        <f>B21+B25+B29</f>
        <v>0</v>
      </c>
    </row>
    <row r="21" spans="1:2" ht="21" hidden="1" customHeight="1">
      <c r="A21" s="125" t="s">
        <v>1495</v>
      </c>
      <c r="B21" s="124">
        <f>SUM(B22:B24)</f>
        <v>0</v>
      </c>
    </row>
    <row r="22" spans="1:2" ht="21" hidden="1" customHeight="1">
      <c r="A22" s="125" t="s">
        <v>1496</v>
      </c>
      <c r="B22" s="124"/>
    </row>
    <row r="23" spans="1:2" ht="21" hidden="1" customHeight="1">
      <c r="A23" s="125" t="s">
        <v>1497</v>
      </c>
      <c r="B23" s="124"/>
    </row>
    <row r="24" spans="1:2" ht="21" hidden="1" customHeight="1">
      <c r="A24" s="125" t="s">
        <v>1498</v>
      </c>
      <c r="B24" s="124"/>
    </row>
    <row r="25" spans="1:2" ht="21" hidden="1" customHeight="1">
      <c r="A25" s="125" t="s">
        <v>1499</v>
      </c>
      <c r="B25" s="124">
        <f>SUM(B26:B28)</f>
        <v>0</v>
      </c>
    </row>
    <row r="26" spans="1:2" ht="21" hidden="1" customHeight="1">
      <c r="A26" s="125" t="s">
        <v>1496</v>
      </c>
      <c r="B26" s="124"/>
    </row>
    <row r="27" spans="1:2" ht="21" hidden="1" customHeight="1">
      <c r="A27" s="125" t="s">
        <v>1497</v>
      </c>
      <c r="B27" s="124"/>
    </row>
    <row r="28" spans="1:2" ht="21" hidden="1" customHeight="1">
      <c r="A28" s="125" t="s">
        <v>1500</v>
      </c>
      <c r="B28" s="124"/>
    </row>
    <row r="29" spans="1:2" ht="21" hidden="1" customHeight="1">
      <c r="A29" s="125" t="s">
        <v>1501</v>
      </c>
      <c r="B29" s="124">
        <f>SUM(B30:B31)</f>
        <v>0</v>
      </c>
    </row>
    <row r="30" spans="1:2" ht="21" hidden="1" customHeight="1">
      <c r="A30" s="125" t="s">
        <v>1497</v>
      </c>
      <c r="B30" s="124"/>
    </row>
    <row r="31" spans="1:2" ht="21" hidden="1" customHeight="1">
      <c r="A31" s="125" t="s">
        <v>1502</v>
      </c>
      <c r="B31" s="124"/>
    </row>
    <row r="32" spans="1:2" ht="21" hidden="1" customHeight="1">
      <c r="A32" s="125" t="s">
        <v>1503</v>
      </c>
      <c r="B32" s="124">
        <f>B33+B38</f>
        <v>0</v>
      </c>
    </row>
    <row r="33" spans="1:2" ht="21" hidden="1" customHeight="1">
      <c r="A33" s="125" t="s">
        <v>1504</v>
      </c>
      <c r="B33" s="124">
        <f>SUM(B34:B37)</f>
        <v>0</v>
      </c>
    </row>
    <row r="34" spans="1:2" ht="21" hidden="1" customHeight="1">
      <c r="A34" s="125" t="s">
        <v>1505</v>
      </c>
      <c r="B34" s="124"/>
    </row>
    <row r="35" spans="1:2" ht="21" hidden="1" customHeight="1">
      <c r="A35" s="125" t="s">
        <v>1506</v>
      </c>
      <c r="B35" s="124"/>
    </row>
    <row r="36" spans="1:2" ht="21" hidden="1" customHeight="1">
      <c r="A36" s="125" t="s">
        <v>1507</v>
      </c>
      <c r="B36" s="124"/>
    </row>
    <row r="37" spans="1:2" ht="21" hidden="1" customHeight="1">
      <c r="A37" s="125" t="s">
        <v>1508</v>
      </c>
      <c r="B37" s="124"/>
    </row>
    <row r="38" spans="1:2" ht="21" hidden="1" customHeight="1">
      <c r="A38" s="125" t="s">
        <v>1509</v>
      </c>
      <c r="B38" s="124">
        <f>SUM(B39:B42)</f>
        <v>0</v>
      </c>
    </row>
    <row r="39" spans="1:2" ht="21" hidden="1" customHeight="1">
      <c r="A39" s="125" t="s">
        <v>1510</v>
      </c>
      <c r="B39" s="124"/>
    </row>
    <row r="40" spans="1:2" ht="21" hidden="1" customHeight="1">
      <c r="A40" s="125" t="s">
        <v>1511</v>
      </c>
      <c r="B40" s="124"/>
    </row>
    <row r="41" spans="1:2" ht="21" hidden="1" customHeight="1">
      <c r="A41" s="125" t="s">
        <v>1512</v>
      </c>
      <c r="B41" s="124"/>
    </row>
    <row r="42" spans="1:2" ht="21" hidden="1" customHeight="1">
      <c r="A42" s="125" t="s">
        <v>1513</v>
      </c>
      <c r="B42" s="124"/>
    </row>
    <row r="43" spans="1:2" ht="21" customHeight="1">
      <c r="A43" s="125" t="s">
        <v>1794</v>
      </c>
      <c r="B43" s="124">
        <f>B44+B57+B61+B62+B68+B72+B76+B80+B86+B89</f>
        <v>63900</v>
      </c>
    </row>
    <row r="44" spans="1:2" ht="21" customHeight="1">
      <c r="A44" s="125" t="s">
        <v>1514</v>
      </c>
      <c r="B44" s="124">
        <f>SUM(B45:B56)</f>
        <v>60000</v>
      </c>
    </row>
    <row r="45" spans="1:2" ht="21" hidden="1" customHeight="1">
      <c r="A45" s="125" t="s">
        <v>1515</v>
      </c>
      <c r="B45" s="124"/>
    </row>
    <row r="46" spans="1:2" ht="21" customHeight="1">
      <c r="A46" s="125" t="s">
        <v>1516</v>
      </c>
      <c r="B46" s="124">
        <f>36930+8500</f>
        <v>45430</v>
      </c>
    </row>
    <row r="47" spans="1:2" ht="21" hidden="1" customHeight="1">
      <c r="A47" s="125" t="s">
        <v>1517</v>
      </c>
      <c r="B47" s="124"/>
    </row>
    <row r="48" spans="1:2" ht="21" hidden="1" customHeight="1">
      <c r="A48" s="125" t="s">
        <v>1518</v>
      </c>
      <c r="B48" s="124"/>
    </row>
    <row r="49" spans="1:2" ht="21" hidden="1" customHeight="1">
      <c r="A49" s="125" t="s">
        <v>1519</v>
      </c>
      <c r="B49" s="124"/>
    </row>
    <row r="50" spans="1:2" ht="21" customHeight="1">
      <c r="A50" s="125" t="s">
        <v>1520</v>
      </c>
      <c r="B50" s="124">
        <v>300</v>
      </c>
    </row>
    <row r="51" spans="1:2" ht="21" hidden="1" customHeight="1">
      <c r="A51" s="125" t="s">
        <v>1521</v>
      </c>
      <c r="B51" s="124"/>
    </row>
    <row r="52" spans="1:2" ht="21" hidden="1" customHeight="1">
      <c r="A52" s="125" t="s">
        <v>1522</v>
      </c>
      <c r="B52" s="124"/>
    </row>
    <row r="53" spans="1:2" ht="21" customHeight="1">
      <c r="A53" s="125" t="s">
        <v>1523</v>
      </c>
      <c r="B53" s="124">
        <v>10014</v>
      </c>
    </row>
    <row r="54" spans="1:2" ht="21" hidden="1" customHeight="1">
      <c r="A54" s="125" t="s">
        <v>1524</v>
      </c>
      <c r="B54" s="124"/>
    </row>
    <row r="55" spans="1:2" ht="21" hidden="1" customHeight="1">
      <c r="A55" s="125" t="s">
        <v>1098</v>
      </c>
      <c r="B55" s="124"/>
    </row>
    <row r="56" spans="1:2" ht="21" customHeight="1">
      <c r="A56" s="125" t="s">
        <v>1525</v>
      </c>
      <c r="B56" s="124">
        <v>4256</v>
      </c>
    </row>
    <row r="57" spans="1:2" ht="21" hidden="1" customHeight="1">
      <c r="A57" s="125" t="s">
        <v>1526</v>
      </c>
      <c r="B57" s="124">
        <f>SUM(B58:B60)</f>
        <v>0</v>
      </c>
    </row>
    <row r="58" spans="1:2" ht="21" hidden="1" customHeight="1">
      <c r="A58" s="125" t="s">
        <v>1515</v>
      </c>
      <c r="B58" s="124"/>
    </row>
    <row r="59" spans="1:2" ht="21" hidden="1" customHeight="1">
      <c r="A59" s="125" t="s">
        <v>1516</v>
      </c>
      <c r="B59" s="124"/>
    </row>
    <row r="60" spans="1:2" ht="21" hidden="1" customHeight="1">
      <c r="A60" s="125" t="s">
        <v>1527</v>
      </c>
      <c r="B60" s="124"/>
    </row>
    <row r="61" spans="1:2" ht="21" hidden="1" customHeight="1">
      <c r="A61" s="125" t="s">
        <v>1528</v>
      </c>
      <c r="B61" s="124"/>
    </row>
    <row r="62" spans="1:2" ht="21" customHeight="1">
      <c r="A62" s="125" t="s">
        <v>1529</v>
      </c>
      <c r="B62" s="124">
        <f>SUM(B63:B67)</f>
        <v>3000</v>
      </c>
    </row>
    <row r="63" spans="1:2" ht="21" hidden="1" customHeight="1">
      <c r="A63" s="125" t="s">
        <v>1530</v>
      </c>
      <c r="B63" s="124"/>
    </row>
    <row r="64" spans="1:2" ht="21" hidden="1" customHeight="1">
      <c r="A64" s="125" t="s">
        <v>1531</v>
      </c>
      <c r="B64" s="124"/>
    </row>
    <row r="65" spans="1:2" ht="21" hidden="1" customHeight="1">
      <c r="A65" s="125" t="s">
        <v>1532</v>
      </c>
      <c r="B65" s="124"/>
    </row>
    <row r="66" spans="1:2" ht="21" hidden="1" customHeight="1">
      <c r="A66" s="125" t="s">
        <v>1533</v>
      </c>
      <c r="B66" s="124"/>
    </row>
    <row r="67" spans="1:2" ht="21" customHeight="1">
      <c r="A67" s="125" t="s">
        <v>1534</v>
      </c>
      <c r="B67" s="124">
        <v>3000</v>
      </c>
    </row>
    <row r="68" spans="1:2" ht="21" customHeight="1">
      <c r="A68" s="125" t="s">
        <v>1535</v>
      </c>
      <c r="B68" s="124">
        <f>SUM(B69:B71)</f>
        <v>900</v>
      </c>
    </row>
    <row r="69" spans="1:2" ht="21" customHeight="1">
      <c r="A69" s="125" t="s">
        <v>1536</v>
      </c>
      <c r="B69" s="124">
        <v>732</v>
      </c>
    </row>
    <row r="70" spans="1:2" ht="21" customHeight="1">
      <c r="A70" s="125" t="s">
        <v>1537</v>
      </c>
      <c r="B70" s="124">
        <v>168</v>
      </c>
    </row>
    <row r="71" spans="1:2" ht="21" hidden="1" customHeight="1">
      <c r="A71" s="125" t="s">
        <v>1538</v>
      </c>
      <c r="B71" s="124"/>
    </row>
    <row r="72" spans="1:2" ht="21" hidden="1" customHeight="1">
      <c r="A72" s="125" t="s">
        <v>1539</v>
      </c>
      <c r="B72" s="124">
        <f>SUM(B73:B75)</f>
        <v>0</v>
      </c>
    </row>
    <row r="73" spans="1:2" ht="21" hidden="1" customHeight="1">
      <c r="A73" s="125" t="s">
        <v>1515</v>
      </c>
      <c r="B73" s="124"/>
    </row>
    <row r="74" spans="1:2" ht="21" hidden="1" customHeight="1">
      <c r="A74" s="125" t="s">
        <v>1516</v>
      </c>
      <c r="B74" s="124"/>
    </row>
    <row r="75" spans="1:2" ht="21" hidden="1" customHeight="1">
      <c r="A75" s="125" t="s">
        <v>1540</v>
      </c>
      <c r="B75" s="124"/>
    </row>
    <row r="76" spans="1:2" ht="21" hidden="1" customHeight="1">
      <c r="A76" s="125" t="s">
        <v>1541</v>
      </c>
      <c r="B76" s="124">
        <f>SUM(B77:B79)</f>
        <v>0</v>
      </c>
    </row>
    <row r="77" spans="1:2" ht="21" hidden="1" customHeight="1">
      <c r="A77" s="125" t="s">
        <v>1515</v>
      </c>
      <c r="B77" s="124"/>
    </row>
    <row r="78" spans="1:2" ht="21" hidden="1" customHeight="1">
      <c r="A78" s="125" t="s">
        <v>1516</v>
      </c>
      <c r="B78" s="124"/>
    </row>
    <row r="79" spans="1:2" ht="21" hidden="1" customHeight="1">
      <c r="A79" s="125" t="s">
        <v>1542</v>
      </c>
      <c r="B79" s="124"/>
    </row>
    <row r="80" spans="1:2" ht="21" hidden="1" customHeight="1">
      <c r="A80" s="125" t="s">
        <v>1543</v>
      </c>
      <c r="B80" s="124">
        <f>SUM(B81:B85)</f>
        <v>0</v>
      </c>
    </row>
    <row r="81" spans="1:2" ht="21" hidden="1" customHeight="1">
      <c r="A81" s="125" t="s">
        <v>1530</v>
      </c>
      <c r="B81" s="124"/>
    </row>
    <row r="82" spans="1:2" ht="21" hidden="1" customHeight="1">
      <c r="A82" s="125" t="s">
        <v>1531</v>
      </c>
      <c r="B82" s="124"/>
    </row>
    <row r="83" spans="1:2" ht="21" hidden="1" customHeight="1">
      <c r="A83" s="125" t="s">
        <v>1532</v>
      </c>
      <c r="B83" s="124"/>
    </row>
    <row r="84" spans="1:2" ht="21" hidden="1" customHeight="1">
      <c r="A84" s="125" t="s">
        <v>1533</v>
      </c>
      <c r="B84" s="124"/>
    </row>
    <row r="85" spans="1:2" ht="21" hidden="1" customHeight="1">
      <c r="A85" s="125" t="s">
        <v>1544</v>
      </c>
      <c r="B85" s="124"/>
    </row>
    <row r="86" spans="1:2" ht="21" hidden="1" customHeight="1">
      <c r="A86" s="125" t="s">
        <v>1545</v>
      </c>
      <c r="B86" s="124">
        <f>SUM(B87:B88)</f>
        <v>0</v>
      </c>
    </row>
    <row r="87" spans="1:2" ht="21" hidden="1" customHeight="1">
      <c r="A87" s="125" t="s">
        <v>1536</v>
      </c>
      <c r="B87" s="124"/>
    </row>
    <row r="88" spans="1:2" ht="21" hidden="1" customHeight="1">
      <c r="A88" s="125" t="s">
        <v>1546</v>
      </c>
      <c r="B88" s="124"/>
    </row>
    <row r="89" spans="1:2" ht="21" hidden="1" customHeight="1">
      <c r="A89" s="125" t="s">
        <v>1547</v>
      </c>
      <c r="B89" s="124">
        <f>SUM(B90:B97)</f>
        <v>0</v>
      </c>
    </row>
    <row r="90" spans="1:2" ht="21" hidden="1" customHeight="1">
      <c r="A90" s="125" t="s">
        <v>1515</v>
      </c>
      <c r="B90" s="124"/>
    </row>
    <row r="91" spans="1:2" ht="21" hidden="1" customHeight="1">
      <c r="A91" s="125" t="s">
        <v>1516</v>
      </c>
      <c r="B91" s="124"/>
    </row>
    <row r="92" spans="1:2" ht="21" hidden="1" customHeight="1">
      <c r="A92" s="125" t="s">
        <v>1517</v>
      </c>
      <c r="B92" s="124"/>
    </row>
    <row r="93" spans="1:2" ht="21" hidden="1" customHeight="1">
      <c r="A93" s="125" t="s">
        <v>1518</v>
      </c>
      <c r="B93" s="124"/>
    </row>
    <row r="94" spans="1:2" ht="21" hidden="1" customHeight="1">
      <c r="A94" s="125" t="s">
        <v>1521</v>
      </c>
      <c r="B94" s="124"/>
    </row>
    <row r="95" spans="1:2" ht="21" hidden="1" customHeight="1">
      <c r="A95" s="125" t="s">
        <v>1523</v>
      </c>
      <c r="B95" s="124"/>
    </row>
    <row r="96" spans="1:2" ht="21" hidden="1" customHeight="1">
      <c r="A96" s="125" t="s">
        <v>1524</v>
      </c>
      <c r="B96" s="124"/>
    </row>
    <row r="97" spans="1:2" ht="21" hidden="1" customHeight="1">
      <c r="A97" s="125" t="s">
        <v>1548</v>
      </c>
      <c r="B97" s="124"/>
    </row>
    <row r="98" spans="1:2" ht="21" hidden="1" customHeight="1">
      <c r="A98" s="125" t="s">
        <v>1549</v>
      </c>
      <c r="B98" s="124">
        <f>B99+B104+B109</f>
        <v>0</v>
      </c>
    </row>
    <row r="99" spans="1:2" ht="21" hidden="1" customHeight="1">
      <c r="A99" s="125" t="s">
        <v>1550</v>
      </c>
      <c r="B99" s="124">
        <f>SUM(B100:B103)</f>
        <v>0</v>
      </c>
    </row>
    <row r="100" spans="1:2" ht="21" hidden="1" customHeight="1">
      <c r="A100" s="125" t="s">
        <v>1497</v>
      </c>
      <c r="B100" s="124"/>
    </row>
    <row r="101" spans="1:2" ht="21" hidden="1" customHeight="1">
      <c r="A101" s="125" t="s">
        <v>1551</v>
      </c>
      <c r="B101" s="124"/>
    </row>
    <row r="102" spans="1:2" ht="21" hidden="1" customHeight="1">
      <c r="A102" s="125" t="s">
        <v>1552</v>
      </c>
      <c r="B102" s="124"/>
    </row>
    <row r="103" spans="1:2" ht="21" hidden="1" customHeight="1">
      <c r="A103" s="125" t="s">
        <v>1553</v>
      </c>
      <c r="B103" s="124"/>
    </row>
    <row r="104" spans="1:2" ht="21" hidden="1" customHeight="1">
      <c r="A104" s="125" t="s">
        <v>1554</v>
      </c>
      <c r="B104" s="124">
        <f>SUM(B105:B108)</f>
        <v>0</v>
      </c>
    </row>
    <row r="105" spans="1:2" ht="21" hidden="1" customHeight="1">
      <c r="A105" s="125" t="s">
        <v>1497</v>
      </c>
      <c r="B105" s="124"/>
    </row>
    <row r="106" spans="1:2" ht="21" hidden="1" customHeight="1">
      <c r="A106" s="125" t="s">
        <v>1551</v>
      </c>
      <c r="B106" s="124"/>
    </row>
    <row r="107" spans="1:2" ht="21" hidden="1" customHeight="1">
      <c r="A107" s="125" t="s">
        <v>1555</v>
      </c>
      <c r="B107" s="124"/>
    </row>
    <row r="108" spans="1:2" ht="21" hidden="1" customHeight="1">
      <c r="A108" s="125" t="s">
        <v>1556</v>
      </c>
      <c r="B108" s="124"/>
    </row>
    <row r="109" spans="1:2" ht="21" hidden="1" customHeight="1">
      <c r="A109" s="125" t="s">
        <v>1557</v>
      </c>
      <c r="B109" s="124">
        <f>SUM(B110:B113)</f>
        <v>0</v>
      </c>
    </row>
    <row r="110" spans="1:2" ht="21" hidden="1" customHeight="1">
      <c r="A110" s="125" t="s">
        <v>877</v>
      </c>
      <c r="B110" s="124"/>
    </row>
    <row r="111" spans="1:2" ht="21" hidden="1" customHeight="1">
      <c r="A111" s="125" t="s">
        <v>1558</v>
      </c>
      <c r="B111" s="124"/>
    </row>
    <row r="112" spans="1:2" ht="21" hidden="1" customHeight="1">
      <c r="A112" s="125" t="s">
        <v>1559</v>
      </c>
      <c r="B112" s="124"/>
    </row>
    <row r="113" spans="1:2" ht="21" hidden="1" customHeight="1">
      <c r="A113" s="125" t="s">
        <v>1560</v>
      </c>
      <c r="B113" s="124"/>
    </row>
    <row r="114" spans="1:2" ht="21" hidden="1" customHeight="1">
      <c r="A114" s="125" t="s">
        <v>1561</v>
      </c>
      <c r="B114" s="124">
        <f>B115+B120+B125+B130+B139+B146+B155+B158+B161+B162</f>
        <v>0</v>
      </c>
    </row>
    <row r="115" spans="1:2" ht="21" hidden="1" customHeight="1">
      <c r="A115" s="125" t="s">
        <v>1562</v>
      </c>
      <c r="B115" s="124">
        <f>SUM(B116:B119)</f>
        <v>0</v>
      </c>
    </row>
    <row r="116" spans="1:2" ht="21" hidden="1" customHeight="1">
      <c r="A116" s="125" t="s">
        <v>910</v>
      </c>
      <c r="B116" s="124"/>
    </row>
    <row r="117" spans="1:2" ht="21" hidden="1" customHeight="1">
      <c r="A117" s="125" t="s">
        <v>911</v>
      </c>
      <c r="B117" s="124"/>
    </row>
    <row r="118" spans="1:2" ht="21" hidden="1" customHeight="1">
      <c r="A118" s="125" t="s">
        <v>1563</v>
      </c>
      <c r="B118" s="124"/>
    </row>
    <row r="119" spans="1:2" ht="21" hidden="1" customHeight="1">
      <c r="A119" s="125" t="s">
        <v>1564</v>
      </c>
      <c r="B119" s="124"/>
    </row>
    <row r="120" spans="1:2" ht="21" hidden="1" customHeight="1">
      <c r="A120" s="125" t="s">
        <v>1565</v>
      </c>
      <c r="B120" s="124">
        <f>SUM(B121:B124)</f>
        <v>0</v>
      </c>
    </row>
    <row r="121" spans="1:2" ht="21" hidden="1" customHeight="1">
      <c r="A121" s="125" t="s">
        <v>1563</v>
      </c>
      <c r="B121" s="124"/>
    </row>
    <row r="122" spans="1:2" ht="21" hidden="1" customHeight="1">
      <c r="A122" s="125" t="s">
        <v>1566</v>
      </c>
      <c r="B122" s="124"/>
    </row>
    <row r="123" spans="1:2" ht="21" hidden="1" customHeight="1">
      <c r="A123" s="125" t="s">
        <v>1567</v>
      </c>
      <c r="B123" s="124"/>
    </row>
    <row r="124" spans="1:2" ht="21" hidden="1" customHeight="1">
      <c r="A124" s="125" t="s">
        <v>1568</v>
      </c>
      <c r="B124" s="124"/>
    </row>
    <row r="125" spans="1:2" ht="21" hidden="1" customHeight="1">
      <c r="A125" s="125" t="s">
        <v>1569</v>
      </c>
      <c r="B125" s="124">
        <f>SUM(B126:B129)</f>
        <v>0</v>
      </c>
    </row>
    <row r="126" spans="1:2" ht="21" hidden="1" customHeight="1">
      <c r="A126" s="125" t="s">
        <v>917</v>
      </c>
      <c r="B126" s="124"/>
    </row>
    <row r="127" spans="1:2" ht="21" hidden="1" customHeight="1">
      <c r="A127" s="125" t="s">
        <v>1570</v>
      </c>
      <c r="B127" s="124"/>
    </row>
    <row r="128" spans="1:2" ht="21" hidden="1" customHeight="1">
      <c r="A128" s="125" t="s">
        <v>1571</v>
      </c>
      <c r="B128" s="124"/>
    </row>
    <row r="129" spans="1:2" ht="21" hidden="1" customHeight="1">
      <c r="A129" s="125" t="s">
        <v>1572</v>
      </c>
      <c r="B129" s="124"/>
    </row>
    <row r="130" spans="1:2" ht="21" hidden="1" customHeight="1">
      <c r="A130" s="125" t="s">
        <v>1573</v>
      </c>
      <c r="B130" s="124">
        <f>SUM(B131:B138)</f>
        <v>0</v>
      </c>
    </row>
    <row r="131" spans="1:2" ht="21" hidden="1" customHeight="1">
      <c r="A131" s="125" t="s">
        <v>1574</v>
      </c>
      <c r="B131" s="124"/>
    </row>
    <row r="132" spans="1:2" ht="21" hidden="1" customHeight="1">
      <c r="A132" s="125" t="s">
        <v>1575</v>
      </c>
      <c r="B132" s="124"/>
    </row>
    <row r="133" spans="1:2" ht="21" hidden="1" customHeight="1">
      <c r="A133" s="125" t="s">
        <v>1576</v>
      </c>
      <c r="B133" s="124"/>
    </row>
    <row r="134" spans="1:2" ht="21" hidden="1" customHeight="1">
      <c r="A134" s="125" t="s">
        <v>1577</v>
      </c>
      <c r="B134" s="124"/>
    </row>
    <row r="135" spans="1:2" ht="21" hidden="1" customHeight="1">
      <c r="A135" s="125" t="s">
        <v>1578</v>
      </c>
      <c r="B135" s="124"/>
    </row>
    <row r="136" spans="1:2" ht="21" hidden="1" customHeight="1">
      <c r="A136" s="125" t="s">
        <v>1579</v>
      </c>
      <c r="B136" s="124"/>
    </row>
    <row r="137" spans="1:2" ht="21" hidden="1" customHeight="1">
      <c r="A137" s="125" t="s">
        <v>1580</v>
      </c>
      <c r="B137" s="124"/>
    </row>
    <row r="138" spans="1:2" ht="21" hidden="1" customHeight="1">
      <c r="A138" s="125" t="s">
        <v>1581</v>
      </c>
      <c r="B138" s="124"/>
    </row>
    <row r="139" spans="1:2" ht="21" hidden="1" customHeight="1">
      <c r="A139" s="125" t="s">
        <v>1582</v>
      </c>
      <c r="B139" s="124">
        <f>SUM(B140:B145)</f>
        <v>0</v>
      </c>
    </row>
    <row r="140" spans="1:2" ht="21" hidden="1" customHeight="1">
      <c r="A140" s="125" t="s">
        <v>1583</v>
      </c>
      <c r="B140" s="124"/>
    </row>
    <row r="141" spans="1:2" ht="21" hidden="1" customHeight="1">
      <c r="A141" s="125" t="s">
        <v>1584</v>
      </c>
      <c r="B141" s="124"/>
    </row>
    <row r="142" spans="1:2" ht="21" hidden="1" customHeight="1">
      <c r="A142" s="125" t="s">
        <v>1585</v>
      </c>
      <c r="B142" s="124"/>
    </row>
    <row r="143" spans="1:2" ht="21" hidden="1" customHeight="1">
      <c r="A143" s="125" t="s">
        <v>1586</v>
      </c>
      <c r="B143" s="124"/>
    </row>
    <row r="144" spans="1:2" ht="21" hidden="1" customHeight="1">
      <c r="A144" s="125" t="s">
        <v>1587</v>
      </c>
      <c r="B144" s="124"/>
    </row>
    <row r="145" spans="1:2" ht="21" hidden="1" customHeight="1">
      <c r="A145" s="125" t="s">
        <v>1588</v>
      </c>
      <c r="B145" s="124"/>
    </row>
    <row r="146" spans="1:2" ht="21" hidden="1" customHeight="1">
      <c r="A146" s="125" t="s">
        <v>1589</v>
      </c>
      <c r="B146" s="124">
        <f>SUM(B147:B154)</f>
        <v>0</v>
      </c>
    </row>
    <row r="147" spans="1:2" ht="21" hidden="1" customHeight="1">
      <c r="A147" s="125" t="s">
        <v>1590</v>
      </c>
      <c r="B147" s="124"/>
    </row>
    <row r="148" spans="1:2" ht="21" hidden="1" customHeight="1">
      <c r="A148" s="125" t="s">
        <v>938</v>
      </c>
      <c r="B148" s="124"/>
    </row>
    <row r="149" spans="1:2" ht="21" hidden="1" customHeight="1">
      <c r="A149" s="125" t="s">
        <v>1591</v>
      </c>
      <c r="B149" s="124"/>
    </row>
    <row r="150" spans="1:2" ht="21" hidden="1" customHeight="1">
      <c r="A150" s="125" t="s">
        <v>1592</v>
      </c>
      <c r="B150" s="124"/>
    </row>
    <row r="151" spans="1:2" ht="21" hidden="1" customHeight="1">
      <c r="A151" s="125" t="s">
        <v>1593</v>
      </c>
      <c r="B151" s="124"/>
    </row>
    <row r="152" spans="1:2" ht="21" hidden="1" customHeight="1">
      <c r="A152" s="125" t="s">
        <v>1594</v>
      </c>
      <c r="B152" s="124"/>
    </row>
    <row r="153" spans="1:2" ht="21" hidden="1" customHeight="1">
      <c r="A153" s="125" t="s">
        <v>1595</v>
      </c>
      <c r="B153" s="124"/>
    </row>
    <row r="154" spans="1:2" ht="21" hidden="1" customHeight="1">
      <c r="A154" s="125" t="s">
        <v>1596</v>
      </c>
      <c r="B154" s="124"/>
    </row>
    <row r="155" spans="1:2" ht="21" hidden="1" customHeight="1">
      <c r="A155" s="125" t="s">
        <v>1597</v>
      </c>
      <c r="B155" s="124">
        <f>SUM(B156:B157)</f>
        <v>0</v>
      </c>
    </row>
    <row r="156" spans="1:2" ht="21" hidden="1" customHeight="1">
      <c r="A156" s="125" t="s">
        <v>910</v>
      </c>
      <c r="B156" s="124"/>
    </row>
    <row r="157" spans="1:2" ht="21" hidden="1" customHeight="1">
      <c r="A157" s="125" t="s">
        <v>1598</v>
      </c>
      <c r="B157" s="124"/>
    </row>
    <row r="158" spans="1:2" ht="21" hidden="1" customHeight="1">
      <c r="A158" s="125" t="s">
        <v>1599</v>
      </c>
      <c r="B158" s="124">
        <f>SUM(B159:B160)</f>
        <v>0</v>
      </c>
    </row>
    <row r="159" spans="1:2" ht="21" hidden="1" customHeight="1">
      <c r="A159" s="125" t="s">
        <v>910</v>
      </c>
      <c r="B159" s="124"/>
    </row>
    <row r="160" spans="1:2" ht="21" hidden="1" customHeight="1">
      <c r="A160" s="125" t="s">
        <v>1600</v>
      </c>
      <c r="B160" s="124"/>
    </row>
    <row r="161" spans="1:2" ht="21" hidden="1" customHeight="1">
      <c r="A161" s="125" t="s">
        <v>1601</v>
      </c>
      <c r="B161" s="124"/>
    </row>
    <row r="162" spans="1:2" ht="21" hidden="1" customHeight="1">
      <c r="A162" s="125" t="s">
        <v>1602</v>
      </c>
      <c r="B162" s="124">
        <f>SUM(B163:B165)</f>
        <v>0</v>
      </c>
    </row>
    <row r="163" spans="1:2" ht="21" hidden="1" customHeight="1">
      <c r="A163" s="125" t="s">
        <v>917</v>
      </c>
      <c r="B163" s="124"/>
    </row>
    <row r="164" spans="1:2" ht="21" hidden="1" customHeight="1">
      <c r="A164" s="125" t="s">
        <v>1571</v>
      </c>
      <c r="B164" s="124"/>
    </row>
    <row r="165" spans="1:2" ht="21" hidden="1" customHeight="1">
      <c r="A165" s="125" t="s">
        <v>1603</v>
      </c>
      <c r="B165" s="124"/>
    </row>
    <row r="166" spans="1:2" ht="21" hidden="1" customHeight="1">
      <c r="A166" s="125" t="s">
        <v>1604</v>
      </c>
      <c r="B166" s="124">
        <f>B167</f>
        <v>0</v>
      </c>
    </row>
    <row r="167" spans="1:2" ht="21" hidden="1" customHeight="1">
      <c r="A167" s="125" t="s">
        <v>1605</v>
      </c>
      <c r="B167" s="124">
        <f>SUM(B168:B169)</f>
        <v>0</v>
      </c>
    </row>
    <row r="168" spans="1:2" ht="21" hidden="1" customHeight="1">
      <c r="A168" s="125" t="s">
        <v>1606</v>
      </c>
      <c r="B168" s="124"/>
    </row>
    <row r="169" spans="1:2" ht="21" hidden="1" customHeight="1">
      <c r="A169" s="125" t="s">
        <v>1607</v>
      </c>
      <c r="B169" s="124"/>
    </row>
    <row r="170" spans="1:2" ht="21" customHeight="1">
      <c r="A170" s="125" t="s">
        <v>1795</v>
      </c>
      <c r="B170" s="124">
        <f>B171+B175+B184</f>
        <v>2600</v>
      </c>
    </row>
    <row r="171" spans="1:2" ht="21" hidden="1" customHeight="1">
      <c r="A171" s="125" t="s">
        <v>1608</v>
      </c>
      <c r="B171" s="124">
        <f>SUM(B172:B174)</f>
        <v>0</v>
      </c>
    </row>
    <row r="172" spans="1:2" ht="21" hidden="1" customHeight="1">
      <c r="A172" s="125" t="s">
        <v>1609</v>
      </c>
      <c r="B172" s="124"/>
    </row>
    <row r="173" spans="1:2" ht="21" hidden="1" customHeight="1">
      <c r="A173" s="125" t="s">
        <v>1610</v>
      </c>
      <c r="B173" s="124"/>
    </row>
    <row r="174" spans="1:2" ht="21" hidden="1" customHeight="1">
      <c r="A174" s="125" t="s">
        <v>1611</v>
      </c>
      <c r="B174" s="124"/>
    </row>
    <row r="175" spans="1:2" ht="21" customHeight="1">
      <c r="A175" s="125" t="s">
        <v>1612</v>
      </c>
      <c r="B175" s="124">
        <f>SUM(B176:B183)</f>
        <v>500</v>
      </c>
    </row>
    <row r="176" spans="1:2" ht="21" hidden="1" customHeight="1">
      <c r="A176" s="125" t="s">
        <v>1613</v>
      </c>
      <c r="B176" s="124"/>
    </row>
    <row r="177" spans="1:2" ht="21" hidden="1" customHeight="1">
      <c r="A177" s="125" t="s">
        <v>1614</v>
      </c>
      <c r="B177" s="124"/>
    </row>
    <row r="178" spans="1:2" ht="21" customHeight="1">
      <c r="A178" s="125" t="s">
        <v>1615</v>
      </c>
      <c r="B178" s="124">
        <v>500</v>
      </c>
    </row>
    <row r="179" spans="1:2" ht="21" hidden="1" customHeight="1">
      <c r="A179" s="125" t="s">
        <v>1616</v>
      </c>
      <c r="B179" s="124"/>
    </row>
    <row r="180" spans="1:2" ht="21" hidden="1" customHeight="1">
      <c r="A180" s="125" t="s">
        <v>1617</v>
      </c>
      <c r="B180" s="124"/>
    </row>
    <row r="181" spans="1:2" ht="21" hidden="1" customHeight="1">
      <c r="A181" s="125" t="s">
        <v>1618</v>
      </c>
      <c r="B181" s="124"/>
    </row>
    <row r="182" spans="1:2" ht="21" hidden="1" customHeight="1">
      <c r="A182" s="125" t="s">
        <v>1619</v>
      </c>
      <c r="B182" s="124"/>
    </row>
    <row r="183" spans="1:2" ht="21" hidden="1" customHeight="1">
      <c r="A183" s="125" t="s">
        <v>1620</v>
      </c>
      <c r="B183" s="124"/>
    </row>
    <row r="184" spans="1:2" ht="21" customHeight="1">
      <c r="A184" s="125" t="s">
        <v>1621</v>
      </c>
      <c r="B184" s="124">
        <f>SUM(B185:B194)</f>
        <v>2100</v>
      </c>
    </row>
    <row r="185" spans="1:2" ht="21" customHeight="1">
      <c r="A185" s="125" t="s">
        <v>1622</v>
      </c>
      <c r="B185" s="124">
        <f>1000+300</f>
        <v>1300</v>
      </c>
    </row>
    <row r="186" spans="1:2" ht="21" customHeight="1">
      <c r="A186" s="125" t="s">
        <v>1623</v>
      </c>
      <c r="B186" s="124">
        <v>800</v>
      </c>
    </row>
    <row r="187" spans="1:2" ht="21" hidden="1" customHeight="1">
      <c r="A187" s="125" t="s">
        <v>1624</v>
      </c>
      <c r="B187" s="124"/>
    </row>
    <row r="188" spans="1:2" ht="21" hidden="1" customHeight="1">
      <c r="A188" s="125" t="s">
        <v>1625</v>
      </c>
      <c r="B188" s="124"/>
    </row>
    <row r="189" spans="1:2" ht="21" hidden="1" customHeight="1">
      <c r="A189" s="125" t="s">
        <v>1626</v>
      </c>
      <c r="B189" s="124"/>
    </row>
    <row r="190" spans="1:2" ht="21" hidden="1" customHeight="1">
      <c r="A190" s="125" t="s">
        <v>1627</v>
      </c>
      <c r="B190" s="124"/>
    </row>
    <row r="191" spans="1:2" ht="21" hidden="1" customHeight="1">
      <c r="A191" s="125" t="s">
        <v>1628</v>
      </c>
      <c r="B191" s="124"/>
    </row>
    <row r="192" spans="1:2" ht="21" hidden="1" customHeight="1">
      <c r="A192" s="125" t="s">
        <v>1629</v>
      </c>
      <c r="B192" s="124"/>
    </row>
    <row r="193" spans="1:2" ht="21" hidden="1" customHeight="1">
      <c r="A193" s="125" t="s">
        <v>1630</v>
      </c>
      <c r="B193" s="124"/>
    </row>
    <row r="194" spans="1:2" ht="21" hidden="1" customHeight="1">
      <c r="A194" s="125" t="s">
        <v>1631</v>
      </c>
      <c r="B194" s="124"/>
    </row>
    <row r="195" spans="1:2" ht="21" hidden="1" customHeight="1">
      <c r="A195" s="125" t="s">
        <v>1632</v>
      </c>
      <c r="B195" s="124">
        <f>SUM(B196:B211)</f>
        <v>0</v>
      </c>
    </row>
    <row r="196" spans="1:2" ht="21" hidden="1" customHeight="1">
      <c r="A196" s="125" t="s">
        <v>1633</v>
      </c>
      <c r="B196" s="124"/>
    </row>
    <row r="197" spans="1:2" ht="21" hidden="1" customHeight="1">
      <c r="A197" s="125" t="s">
        <v>1634</v>
      </c>
      <c r="B197" s="124"/>
    </row>
    <row r="198" spans="1:2" ht="21" hidden="1" customHeight="1">
      <c r="A198" s="125" t="s">
        <v>1635</v>
      </c>
      <c r="B198" s="124"/>
    </row>
    <row r="199" spans="1:2" ht="21" hidden="1" customHeight="1">
      <c r="A199" s="125" t="s">
        <v>1636</v>
      </c>
      <c r="B199" s="124"/>
    </row>
    <row r="200" spans="1:2" ht="21" hidden="1" customHeight="1">
      <c r="A200" s="125" t="s">
        <v>1637</v>
      </c>
      <c r="B200" s="124"/>
    </row>
    <row r="201" spans="1:2" ht="21" hidden="1" customHeight="1">
      <c r="A201" s="125" t="s">
        <v>1638</v>
      </c>
      <c r="B201" s="124"/>
    </row>
    <row r="202" spans="1:2" ht="21" hidden="1" customHeight="1">
      <c r="A202" s="125" t="s">
        <v>1639</v>
      </c>
      <c r="B202" s="124"/>
    </row>
    <row r="203" spans="1:2" ht="21" hidden="1" customHeight="1">
      <c r="A203" s="125" t="s">
        <v>1640</v>
      </c>
      <c r="B203" s="124"/>
    </row>
    <row r="204" spans="1:2" ht="21" hidden="1" customHeight="1">
      <c r="A204" s="125" t="s">
        <v>1641</v>
      </c>
      <c r="B204" s="124"/>
    </row>
    <row r="205" spans="1:2" ht="21" hidden="1" customHeight="1">
      <c r="A205" s="125" t="s">
        <v>1642</v>
      </c>
      <c r="B205" s="124"/>
    </row>
    <row r="206" spans="1:2" ht="21" hidden="1" customHeight="1">
      <c r="A206" s="125" t="s">
        <v>1643</v>
      </c>
      <c r="B206" s="124"/>
    </row>
    <row r="207" spans="1:2" ht="21" hidden="1" customHeight="1">
      <c r="A207" s="125" t="s">
        <v>1644</v>
      </c>
      <c r="B207" s="124"/>
    </row>
    <row r="208" spans="1:2" ht="21" hidden="1" customHeight="1">
      <c r="A208" s="125" t="s">
        <v>1645</v>
      </c>
      <c r="B208" s="124"/>
    </row>
    <row r="209" spans="1:2" ht="21" hidden="1" customHeight="1">
      <c r="A209" s="125" t="s">
        <v>1646</v>
      </c>
      <c r="B209" s="124"/>
    </row>
    <row r="210" spans="1:2" ht="21" hidden="1" customHeight="1">
      <c r="A210" s="125" t="s">
        <v>1647</v>
      </c>
      <c r="B210" s="124"/>
    </row>
    <row r="211" spans="1:2" ht="21" hidden="1" customHeight="1">
      <c r="A211" s="125" t="s">
        <v>1648</v>
      </c>
      <c r="B211" s="124"/>
    </row>
    <row r="212" spans="1:2" ht="21" hidden="1" customHeight="1">
      <c r="A212" s="125" t="s">
        <v>1649</v>
      </c>
      <c r="B212" s="124">
        <f>SUM(B213:B228)</f>
        <v>0</v>
      </c>
    </row>
    <row r="213" spans="1:2" ht="21" hidden="1" customHeight="1">
      <c r="A213" s="125" t="s">
        <v>1650</v>
      </c>
      <c r="B213" s="124"/>
    </row>
    <row r="214" spans="1:2" ht="21" hidden="1" customHeight="1">
      <c r="A214" s="125" t="s">
        <v>1651</v>
      </c>
      <c r="B214" s="124"/>
    </row>
    <row r="215" spans="1:2" ht="21" hidden="1" customHeight="1">
      <c r="A215" s="125" t="s">
        <v>1652</v>
      </c>
      <c r="B215" s="124"/>
    </row>
    <row r="216" spans="1:2" ht="21" hidden="1" customHeight="1">
      <c r="A216" s="125" t="s">
        <v>1653</v>
      </c>
      <c r="B216" s="124"/>
    </row>
    <row r="217" spans="1:2" ht="21" hidden="1" customHeight="1">
      <c r="A217" s="125" t="s">
        <v>1654</v>
      </c>
      <c r="B217" s="124"/>
    </row>
    <row r="218" spans="1:2" ht="21" hidden="1" customHeight="1">
      <c r="A218" s="125" t="s">
        <v>1655</v>
      </c>
      <c r="B218" s="124"/>
    </row>
    <row r="219" spans="1:2" ht="21" hidden="1" customHeight="1">
      <c r="A219" s="125" t="s">
        <v>1656</v>
      </c>
      <c r="B219" s="124"/>
    </row>
    <row r="220" spans="1:2" ht="21" hidden="1" customHeight="1">
      <c r="A220" s="125" t="s">
        <v>1657</v>
      </c>
      <c r="B220" s="124"/>
    </row>
    <row r="221" spans="1:2" ht="21" hidden="1" customHeight="1">
      <c r="A221" s="125" t="s">
        <v>1658</v>
      </c>
      <c r="B221" s="124"/>
    </row>
    <row r="222" spans="1:2" ht="21" hidden="1" customHeight="1">
      <c r="A222" s="125" t="s">
        <v>1659</v>
      </c>
      <c r="B222" s="124"/>
    </row>
    <row r="223" spans="1:2" ht="21" hidden="1" customHeight="1">
      <c r="A223" s="125" t="s">
        <v>1660</v>
      </c>
      <c r="B223" s="124"/>
    </row>
    <row r="224" spans="1:2" ht="21" hidden="1" customHeight="1">
      <c r="A224" s="125" t="s">
        <v>1661</v>
      </c>
      <c r="B224" s="124"/>
    </row>
    <row r="225" spans="1:2" ht="21" hidden="1" customHeight="1">
      <c r="A225" s="125" t="s">
        <v>1662</v>
      </c>
      <c r="B225" s="124"/>
    </row>
    <row r="226" spans="1:2" ht="21" hidden="1" customHeight="1">
      <c r="A226" s="125" t="s">
        <v>1663</v>
      </c>
      <c r="B226" s="124"/>
    </row>
    <row r="227" spans="1:2" ht="21" hidden="1" customHeight="1">
      <c r="A227" s="125" t="s">
        <v>1664</v>
      </c>
      <c r="B227" s="124"/>
    </row>
    <row r="228" spans="1:2" ht="21" hidden="1" customHeight="1">
      <c r="A228" s="125" t="s">
        <v>1665</v>
      </c>
      <c r="B228" s="124"/>
    </row>
    <row r="229" spans="1:2" ht="21" hidden="1" customHeight="1">
      <c r="A229" s="125" t="s">
        <v>1666</v>
      </c>
      <c r="B229" s="124"/>
    </row>
    <row r="230" spans="1:2" ht="21" hidden="1" customHeight="1">
      <c r="A230" s="125" t="s">
        <v>1667</v>
      </c>
      <c r="B230" s="124"/>
    </row>
    <row r="231" spans="1:2" ht="21" hidden="1" customHeight="1">
      <c r="A231" s="125" t="s">
        <v>1668</v>
      </c>
      <c r="B231" s="124"/>
    </row>
    <row r="232" spans="1:2" ht="21" hidden="1" customHeight="1">
      <c r="A232" s="125" t="s">
        <v>1669</v>
      </c>
      <c r="B232" s="124"/>
    </row>
    <row r="233" spans="1:2" ht="21" hidden="1" customHeight="1">
      <c r="A233" s="125" t="s">
        <v>1670</v>
      </c>
      <c r="B233" s="124"/>
    </row>
    <row r="234" spans="1:2" ht="21" hidden="1" customHeight="1">
      <c r="A234" s="125" t="s">
        <v>1671</v>
      </c>
      <c r="B234" s="124"/>
    </row>
    <row r="235" spans="1:2" ht="21" hidden="1" customHeight="1">
      <c r="A235" s="125" t="s">
        <v>1672</v>
      </c>
      <c r="B235" s="124"/>
    </row>
    <row r="236" spans="1:2" ht="21" hidden="1" customHeight="1">
      <c r="A236" s="125" t="s">
        <v>1673</v>
      </c>
      <c r="B236" s="124"/>
    </row>
    <row r="237" spans="1:2" ht="21" hidden="1" customHeight="1">
      <c r="A237" s="125" t="s">
        <v>1674</v>
      </c>
      <c r="B237" s="124"/>
    </row>
    <row r="238" spans="1:2" ht="21" hidden="1" customHeight="1">
      <c r="A238" s="125" t="s">
        <v>1675</v>
      </c>
      <c r="B238" s="124"/>
    </row>
    <row r="239" spans="1:2" ht="21" hidden="1" customHeight="1">
      <c r="A239" s="125" t="s">
        <v>1676</v>
      </c>
      <c r="B239" s="124"/>
    </row>
    <row r="240" spans="1:2" ht="21" hidden="1" customHeight="1">
      <c r="A240" s="125" t="s">
        <v>1677</v>
      </c>
      <c r="B240" s="124"/>
    </row>
    <row r="241" spans="1:2" ht="21" hidden="1" customHeight="1">
      <c r="A241" s="125" t="s">
        <v>1678</v>
      </c>
      <c r="B241" s="124"/>
    </row>
    <row r="242" spans="1:2" ht="21" hidden="1" customHeight="1">
      <c r="A242" s="125" t="s">
        <v>1679</v>
      </c>
      <c r="B242" s="124"/>
    </row>
    <row r="243" spans="1:2" ht="21" hidden="1" customHeight="1">
      <c r="A243" s="125" t="s">
        <v>1680</v>
      </c>
      <c r="B243" s="124"/>
    </row>
    <row r="244" spans="1:2" ht="21" hidden="1" customHeight="1">
      <c r="A244" s="125" t="s">
        <v>996</v>
      </c>
      <c r="B244" s="124"/>
    </row>
    <row r="245" spans="1:2" ht="21" hidden="1" customHeight="1">
      <c r="A245" s="125" t="s">
        <v>1041</v>
      </c>
      <c r="B245" s="124"/>
    </row>
    <row r="246" spans="1:2" ht="21" hidden="1" customHeight="1">
      <c r="A246" s="125" t="s">
        <v>899</v>
      </c>
      <c r="B246" s="124"/>
    </row>
    <row r="247" spans="1:2" ht="20.100000000000001" hidden="1" customHeight="1">
      <c r="A247" s="125" t="s">
        <v>1681</v>
      </c>
      <c r="B247" s="124"/>
    </row>
    <row r="248" spans="1:2" ht="20.100000000000001" hidden="1" customHeight="1">
      <c r="A248" s="125" t="s">
        <v>1682</v>
      </c>
      <c r="B248" s="124"/>
    </row>
    <row r="249" spans="1:2" ht="20.100000000000001" hidden="1" customHeight="1">
      <c r="A249" s="125" t="s">
        <v>1683</v>
      </c>
      <c r="B249" s="124"/>
    </row>
    <row r="250" spans="1:2" ht="20.100000000000001" customHeight="1">
      <c r="A250" s="125"/>
      <c r="B250" s="124"/>
    </row>
    <row r="251" spans="1:2" ht="20.100000000000001" customHeight="1">
      <c r="A251" s="125"/>
      <c r="B251" s="124"/>
    </row>
    <row r="252" spans="1:2" ht="20.100000000000001" customHeight="1">
      <c r="A252" s="126" t="s">
        <v>113</v>
      </c>
      <c r="B252" s="127">
        <f>B43+B170</f>
        <v>66500</v>
      </c>
    </row>
    <row r="253" spans="1:2" ht="20.100000000000001" customHeight="1">
      <c r="A253" s="351"/>
      <c r="B253" s="351"/>
    </row>
    <row r="254" spans="1:2" ht="20.100000000000001" customHeight="1">
      <c r="A254" s="128"/>
      <c r="B254" s="129"/>
    </row>
    <row r="255" spans="1:2" ht="20.100000000000001" customHeight="1"/>
    <row r="256" spans="1:2"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sheetData>
  <mergeCells count="2">
    <mergeCell ref="A1:B1"/>
    <mergeCell ref="A253:B253"/>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6"/>
  <sheetViews>
    <sheetView showZeros="0" workbookViewId="0">
      <pane xSplit="1" ySplit="3" topLeftCell="B7" activePane="bottomRight" state="frozen"/>
      <selection pane="topRight"/>
      <selection pane="bottomLeft"/>
      <selection pane="bottomRight" activeCell="G12" sqref="G12"/>
    </sheetView>
  </sheetViews>
  <sheetFormatPr defaultColWidth="9" defaultRowHeight="14.25"/>
  <cols>
    <col min="1" max="1" width="50" customWidth="1"/>
    <col min="2" max="2" width="9.125" customWidth="1"/>
    <col min="3" max="3" width="7.25" customWidth="1"/>
    <col min="5" max="5" width="7.75" customWidth="1"/>
    <col min="6" max="9" width="8.375" customWidth="1"/>
  </cols>
  <sheetData>
    <row r="1" spans="1:9" ht="30" customHeight="1">
      <c r="A1" s="349" t="s">
        <v>1684</v>
      </c>
      <c r="B1" s="349"/>
      <c r="C1" s="349"/>
      <c r="D1" s="349"/>
      <c r="E1" s="349"/>
      <c r="F1" s="349"/>
      <c r="G1" s="349"/>
      <c r="H1" s="349"/>
      <c r="I1" s="349"/>
    </row>
    <row r="2" spans="1:9" s="65" customFormat="1" ht="20.100000000000001" customHeight="1">
      <c r="A2" s="57" t="s">
        <v>1685</v>
      </c>
      <c r="B2" s="110"/>
      <c r="C2" s="110"/>
      <c r="D2" s="110"/>
      <c r="E2" s="110"/>
      <c r="F2" s="110"/>
      <c r="G2" s="110"/>
      <c r="H2" s="110"/>
      <c r="I2" s="110" t="s">
        <v>86</v>
      </c>
    </row>
    <row r="3" spans="1:9" ht="35.1" customHeight="1">
      <c r="A3" s="111" t="s">
        <v>204</v>
      </c>
      <c r="B3" s="111" t="s">
        <v>1294</v>
      </c>
      <c r="C3" s="111" t="s">
        <v>1686</v>
      </c>
      <c r="D3" s="111" t="s">
        <v>1287</v>
      </c>
      <c r="E3" s="111" t="s">
        <v>1296</v>
      </c>
      <c r="F3" s="111" t="s">
        <v>1297</v>
      </c>
      <c r="G3" s="111" t="s">
        <v>1298</v>
      </c>
      <c r="H3" s="111" t="s">
        <v>1299</v>
      </c>
      <c r="I3" s="111" t="s">
        <v>1300</v>
      </c>
    </row>
    <row r="4" spans="1:9" ht="24.95" customHeight="1">
      <c r="A4" s="112" t="s">
        <v>1687</v>
      </c>
      <c r="B4" s="113">
        <f t="shared" ref="B4:B14" si="0">C4+D4</f>
        <v>0</v>
      </c>
      <c r="C4" s="113">
        <f t="shared" ref="C4" si="1">C5</f>
        <v>0</v>
      </c>
      <c r="D4" s="113">
        <f t="shared" ref="D4:D15" si="2">SUM(E4:I4)</f>
        <v>0</v>
      </c>
      <c r="E4" s="113">
        <f t="shared" ref="E4:I4" si="3">E5</f>
        <v>0</v>
      </c>
      <c r="F4" s="113">
        <f t="shared" si="3"/>
        <v>0</v>
      </c>
      <c r="G4" s="113">
        <f t="shared" si="3"/>
        <v>0</v>
      </c>
      <c r="H4" s="113">
        <f t="shared" si="3"/>
        <v>0</v>
      </c>
      <c r="I4" s="113">
        <f t="shared" si="3"/>
        <v>0</v>
      </c>
    </row>
    <row r="5" spans="1:9" ht="24.95" customHeight="1">
      <c r="A5" s="112" t="s">
        <v>1495</v>
      </c>
      <c r="B5" s="113">
        <f t="shared" si="0"/>
        <v>0</v>
      </c>
      <c r="C5" s="113">
        <f t="shared" ref="C5" si="4">C6</f>
        <v>0</v>
      </c>
      <c r="D5" s="113">
        <f t="shared" si="2"/>
        <v>0</v>
      </c>
      <c r="E5" s="113">
        <f t="shared" ref="E5:I5" si="5">E6</f>
        <v>0</v>
      </c>
      <c r="F5" s="113">
        <f t="shared" si="5"/>
        <v>0</v>
      </c>
      <c r="G5" s="113">
        <f t="shared" si="5"/>
        <v>0</v>
      </c>
      <c r="H5" s="113">
        <f t="shared" si="5"/>
        <v>0</v>
      </c>
      <c r="I5" s="113">
        <f t="shared" si="5"/>
        <v>0</v>
      </c>
    </row>
    <row r="6" spans="1:9" ht="24.95" customHeight="1">
      <c r="A6" s="112" t="s">
        <v>1688</v>
      </c>
      <c r="B6" s="113">
        <f t="shared" si="0"/>
        <v>0</v>
      </c>
      <c r="C6" s="114"/>
      <c r="D6" s="113">
        <f t="shared" si="2"/>
        <v>0</v>
      </c>
      <c r="E6" s="114"/>
      <c r="F6" s="114"/>
      <c r="G6" s="114"/>
      <c r="H6" s="114"/>
      <c r="I6" s="114"/>
    </row>
    <row r="7" spans="1:9" ht="24.95" customHeight="1">
      <c r="A7" s="112" t="s">
        <v>1689</v>
      </c>
      <c r="B7" s="113">
        <f t="shared" si="0"/>
        <v>2540</v>
      </c>
      <c r="C7" s="114">
        <v>170</v>
      </c>
      <c r="D7" s="113">
        <f t="shared" si="2"/>
        <v>2370</v>
      </c>
      <c r="E7" s="114">
        <v>600</v>
      </c>
      <c r="F7" s="114">
        <v>330</v>
      </c>
      <c r="G7" s="114">
        <v>350</v>
      </c>
      <c r="H7" s="114">
        <v>400</v>
      </c>
      <c r="I7" s="118">
        <v>690</v>
      </c>
    </row>
    <row r="8" spans="1:9" ht="24.95" customHeight="1">
      <c r="A8" s="112" t="s">
        <v>1690</v>
      </c>
      <c r="B8" s="113">
        <f t="shared" si="0"/>
        <v>0</v>
      </c>
      <c r="C8" s="114"/>
      <c r="D8" s="113">
        <f t="shared" si="2"/>
        <v>0</v>
      </c>
      <c r="E8" s="114"/>
      <c r="F8" s="114"/>
      <c r="G8" s="114"/>
      <c r="H8" s="114"/>
      <c r="I8" s="118"/>
    </row>
    <row r="9" spans="1:9" ht="24.95" customHeight="1">
      <c r="A9" s="112" t="s">
        <v>1691</v>
      </c>
      <c r="B9" s="113">
        <f t="shared" si="0"/>
        <v>260</v>
      </c>
      <c r="C9" s="113">
        <f t="shared" ref="C9" si="6">SUM(C10,C12)</f>
        <v>130</v>
      </c>
      <c r="D9" s="113">
        <f t="shared" si="2"/>
        <v>130</v>
      </c>
      <c r="E9" s="113">
        <f t="shared" ref="E9:I9" si="7">SUM(E10,E12)</f>
        <v>0</v>
      </c>
      <c r="F9" s="113">
        <f t="shared" si="7"/>
        <v>0</v>
      </c>
      <c r="G9" s="113">
        <f t="shared" si="7"/>
        <v>100</v>
      </c>
      <c r="H9" s="113">
        <f t="shared" si="7"/>
        <v>30</v>
      </c>
      <c r="I9" s="113">
        <f t="shared" si="7"/>
        <v>0</v>
      </c>
    </row>
    <row r="10" spans="1:9" ht="24.95" customHeight="1">
      <c r="A10" s="112" t="s">
        <v>1612</v>
      </c>
      <c r="B10" s="113">
        <f t="shared" si="0"/>
        <v>50</v>
      </c>
      <c r="C10" s="113">
        <f t="shared" ref="C10" si="8">C11</f>
        <v>50</v>
      </c>
      <c r="D10" s="113">
        <f t="shared" si="2"/>
        <v>0</v>
      </c>
      <c r="E10" s="113">
        <f t="shared" ref="E10:I10" si="9">E11</f>
        <v>0</v>
      </c>
      <c r="F10" s="113">
        <f t="shared" si="9"/>
        <v>0</v>
      </c>
      <c r="G10" s="113">
        <f t="shared" si="9"/>
        <v>0</v>
      </c>
      <c r="H10" s="113">
        <f t="shared" si="9"/>
        <v>0</v>
      </c>
      <c r="I10" s="113">
        <f t="shared" si="9"/>
        <v>0</v>
      </c>
    </row>
    <row r="11" spans="1:9" ht="24.95" customHeight="1">
      <c r="A11" s="112" t="s">
        <v>1692</v>
      </c>
      <c r="B11" s="113">
        <f t="shared" si="0"/>
        <v>50</v>
      </c>
      <c r="C11" s="114">
        <v>50</v>
      </c>
      <c r="D11" s="113">
        <f t="shared" si="2"/>
        <v>0</v>
      </c>
      <c r="E11" s="114"/>
      <c r="F11" s="114"/>
      <c r="G11" s="114"/>
      <c r="H11" s="114"/>
      <c r="I11" s="118"/>
    </row>
    <row r="12" spans="1:9" ht="24.95" customHeight="1">
      <c r="A12" s="112" t="s">
        <v>1693</v>
      </c>
      <c r="B12" s="113">
        <f t="shared" si="0"/>
        <v>210</v>
      </c>
      <c r="C12" s="113">
        <f t="shared" ref="C12" si="10">SUM(C13:C14)</f>
        <v>80</v>
      </c>
      <c r="D12" s="113">
        <f t="shared" si="2"/>
        <v>130</v>
      </c>
      <c r="E12" s="113">
        <f t="shared" ref="E12:I12" si="11">SUM(E13:E14)</f>
        <v>0</v>
      </c>
      <c r="F12" s="113">
        <f t="shared" si="11"/>
        <v>0</v>
      </c>
      <c r="G12" s="113">
        <f t="shared" si="11"/>
        <v>100</v>
      </c>
      <c r="H12" s="113">
        <f t="shared" si="11"/>
        <v>30</v>
      </c>
      <c r="I12" s="113">
        <f t="shared" si="11"/>
        <v>0</v>
      </c>
    </row>
    <row r="13" spans="1:9" ht="24.95" customHeight="1">
      <c r="A13" s="112" t="s">
        <v>1694</v>
      </c>
      <c r="B13" s="113">
        <f t="shared" si="0"/>
        <v>210</v>
      </c>
      <c r="C13" s="114">
        <v>80</v>
      </c>
      <c r="D13" s="113">
        <f t="shared" si="2"/>
        <v>130</v>
      </c>
      <c r="E13" s="114"/>
      <c r="F13" s="114"/>
      <c r="G13" s="114">
        <v>100</v>
      </c>
      <c r="H13" s="114">
        <v>30</v>
      </c>
      <c r="I13" s="118"/>
    </row>
    <row r="14" spans="1:9" ht="24.95" customHeight="1">
      <c r="A14" s="112" t="s">
        <v>1695</v>
      </c>
      <c r="B14" s="113">
        <f t="shared" si="0"/>
        <v>0</v>
      </c>
      <c r="C14" s="114"/>
      <c r="D14" s="113">
        <f t="shared" si="2"/>
        <v>0</v>
      </c>
      <c r="E14" s="114"/>
      <c r="F14" s="114"/>
      <c r="G14" s="114"/>
      <c r="H14" s="114"/>
      <c r="I14" s="118"/>
    </row>
    <row r="15" spans="1:9" ht="24.95" customHeight="1">
      <c r="A15" s="115"/>
      <c r="B15" s="113"/>
      <c r="C15" s="114"/>
      <c r="D15" s="113">
        <f t="shared" si="2"/>
        <v>0</v>
      </c>
      <c r="E15" s="114"/>
      <c r="F15" s="114"/>
      <c r="G15" s="114"/>
      <c r="H15" s="114"/>
      <c r="I15" s="118"/>
    </row>
    <row r="16" spans="1:9" ht="24.95" customHeight="1">
      <c r="A16" s="116" t="s">
        <v>201</v>
      </c>
      <c r="B16" s="117">
        <f t="shared" ref="B16:I16" si="12">B4+B7+B8+B9</f>
        <v>2800</v>
      </c>
      <c r="C16" s="117">
        <f t="shared" si="12"/>
        <v>300</v>
      </c>
      <c r="D16" s="117">
        <f t="shared" si="12"/>
        <v>2500</v>
      </c>
      <c r="E16" s="117">
        <f t="shared" si="12"/>
        <v>600</v>
      </c>
      <c r="F16" s="117">
        <f t="shared" si="12"/>
        <v>330</v>
      </c>
      <c r="G16" s="117">
        <f t="shared" si="12"/>
        <v>450</v>
      </c>
      <c r="H16" s="117">
        <f t="shared" si="12"/>
        <v>430</v>
      </c>
      <c r="I16" s="117">
        <f t="shared" si="12"/>
        <v>690</v>
      </c>
    </row>
  </sheetData>
  <mergeCells count="1">
    <mergeCell ref="A1:I1"/>
  </mergeCells>
  <phoneticPr fontId="54" type="noConversion"/>
  <printOptions horizontalCentered="1"/>
  <pageMargins left="0.98402777777777795" right="0.78680555555555598" top="0.78680555555555598" bottom="0.78680555555555598" header="0.51180555555555596" footer="0.51180555555555596"/>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FC11"/>
  <sheetViews>
    <sheetView workbookViewId="0">
      <selection activeCell="P24" sqref="P24"/>
    </sheetView>
  </sheetViews>
  <sheetFormatPr defaultColWidth="9" defaultRowHeight="14.25"/>
  <cols>
    <col min="1" max="1" width="33" style="30" customWidth="1"/>
    <col min="2" max="2" width="13.625" style="30" customWidth="1"/>
    <col min="3" max="3" width="11.625" style="94" hidden="1" customWidth="1"/>
    <col min="4" max="4" width="15.5" style="94" customWidth="1"/>
    <col min="5" max="5" width="11.625" style="30" hidden="1" customWidth="1"/>
    <col min="6" max="6" width="11.125" style="30" hidden="1" customWidth="1"/>
    <col min="7" max="7" width="15.125" style="30" customWidth="1"/>
    <col min="8" max="16383" width="9" style="30"/>
  </cols>
  <sheetData>
    <row r="1" spans="1:256" s="93" customFormat="1" ht="30" customHeight="1">
      <c r="A1" s="349" t="s">
        <v>1696</v>
      </c>
      <c r="B1" s="349"/>
      <c r="C1" s="349"/>
      <c r="D1" s="349"/>
      <c r="E1" s="349"/>
      <c r="F1" s="349"/>
      <c r="G1" s="349"/>
    </row>
    <row r="2" spans="1:256" s="65" customFormat="1" ht="20.100000000000001" customHeight="1">
      <c r="A2" s="57" t="s">
        <v>1697</v>
      </c>
      <c r="B2" s="57"/>
      <c r="C2" s="95"/>
      <c r="G2" s="67" t="s">
        <v>86</v>
      </c>
    </row>
    <row r="3" spans="1:256" s="66" customFormat="1" ht="35.1" customHeight="1">
      <c r="A3" s="38" t="s">
        <v>204</v>
      </c>
      <c r="B3" s="38" t="s">
        <v>55</v>
      </c>
      <c r="C3" s="96" t="s">
        <v>56</v>
      </c>
      <c r="D3" s="96" t="s">
        <v>57</v>
      </c>
      <c r="E3" s="84" t="s">
        <v>58</v>
      </c>
      <c r="F3" s="84" t="s">
        <v>1698</v>
      </c>
      <c r="G3" s="58" t="s">
        <v>59</v>
      </c>
    </row>
    <row r="4" spans="1:256" ht="24.95" customHeight="1">
      <c r="A4" s="63" t="s">
        <v>1699</v>
      </c>
      <c r="B4" s="97"/>
      <c r="C4" s="97"/>
      <c r="D4" s="97"/>
      <c r="E4" s="98" t="e">
        <f t="shared" ref="E4:E5" si="0">D4/C4*100</f>
        <v>#DIV/0!</v>
      </c>
      <c r="F4" s="98" t="e">
        <f t="shared" ref="F4:F5" si="1">(D4/B4-1)*100</f>
        <v>#DIV/0!</v>
      </c>
      <c r="G4" s="78"/>
    </row>
    <row r="5" spans="1:256" ht="24.95" customHeight="1">
      <c r="A5" s="63" t="s">
        <v>1700</v>
      </c>
      <c r="B5" s="97">
        <v>3150</v>
      </c>
      <c r="C5" s="97"/>
      <c r="D5" s="97">
        <v>4300</v>
      </c>
      <c r="E5" s="98" t="e">
        <f t="shared" si="0"/>
        <v>#DIV/0!</v>
      </c>
      <c r="F5" s="98">
        <f t="shared" si="1"/>
        <v>37</v>
      </c>
      <c r="G5" s="99">
        <f>(D5/B5-1)*100</f>
        <v>36.5</v>
      </c>
    </row>
    <row r="6" spans="1:256" ht="24.95" customHeight="1">
      <c r="A6" s="100"/>
      <c r="B6" s="97"/>
      <c r="C6" s="97"/>
      <c r="D6" s="97"/>
      <c r="E6" s="98"/>
      <c r="F6" s="98"/>
      <c r="G6" s="99"/>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8" t="s">
        <v>83</v>
      </c>
      <c r="B7" s="101">
        <f>SUM(B4:B5)</f>
        <v>3150</v>
      </c>
      <c r="C7" s="101">
        <f>SUM(C4:C5)</f>
        <v>0</v>
      </c>
      <c r="D7" s="101">
        <f>SUM(D4:D5)</f>
        <v>4300</v>
      </c>
      <c r="E7" s="102" t="e">
        <f t="shared" ref="E7:E10" si="2">D7/C7*100</f>
        <v>#DIV/0!</v>
      </c>
      <c r="F7" s="102">
        <f t="shared" ref="F7:F10" si="3">(D7/B7-1)*100</f>
        <v>37</v>
      </c>
      <c r="G7" s="103">
        <f>(D7/B7-1)*100</f>
        <v>36.5</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5" customHeight="1">
      <c r="A8" s="63" t="s">
        <v>1701</v>
      </c>
      <c r="B8" s="97"/>
      <c r="C8" s="97"/>
      <c r="D8" s="74">
        <v>2052</v>
      </c>
      <c r="E8" s="98" t="e">
        <f t="shared" si="2"/>
        <v>#DIV/0!</v>
      </c>
      <c r="F8" s="98" t="e">
        <f t="shared" si="3"/>
        <v>#DIV/0!</v>
      </c>
      <c r="G8" s="104"/>
      <c r="H8" s="105"/>
      <c r="I8" s="105"/>
      <c r="J8" s="105"/>
      <c r="K8" s="105"/>
      <c r="L8" s="105"/>
      <c r="M8" s="105"/>
      <c r="N8" s="105"/>
      <c r="O8" s="105"/>
      <c r="P8" s="105"/>
      <c r="Q8" s="105"/>
      <c r="R8" s="105"/>
      <c r="S8" s="105"/>
    </row>
    <row r="9" spans="1:256" ht="24.95" customHeight="1">
      <c r="A9" s="91" t="s">
        <v>1464</v>
      </c>
      <c r="B9" s="97"/>
      <c r="C9" s="97"/>
      <c r="D9" s="97">
        <v>1044</v>
      </c>
      <c r="E9" s="98" t="e">
        <f t="shared" si="2"/>
        <v>#DIV/0!</v>
      </c>
      <c r="F9" s="98" t="e">
        <f t="shared" si="3"/>
        <v>#DIV/0!</v>
      </c>
      <c r="G9" s="104"/>
      <c r="H9" s="105"/>
      <c r="I9" s="105"/>
      <c r="J9" s="105"/>
      <c r="K9" s="105"/>
      <c r="L9" s="105"/>
      <c r="M9" s="105"/>
      <c r="N9" s="105"/>
      <c r="O9" s="105"/>
      <c r="P9" s="105"/>
      <c r="Q9" s="105"/>
      <c r="R9" s="105"/>
      <c r="S9" s="105"/>
    </row>
    <row r="10" spans="1:256" ht="24.95" customHeight="1">
      <c r="A10" s="106" t="s">
        <v>172</v>
      </c>
      <c r="B10" s="101"/>
      <c r="C10" s="101"/>
      <c r="D10" s="101">
        <f>SUM(D7:D9)</f>
        <v>7396</v>
      </c>
      <c r="E10" s="98" t="e">
        <f t="shared" si="2"/>
        <v>#DIV/0!</v>
      </c>
      <c r="F10" s="98" t="e">
        <f t="shared" si="3"/>
        <v>#DIV/0!</v>
      </c>
      <c r="G10" s="104"/>
      <c r="H10" s="105"/>
      <c r="I10" s="105"/>
      <c r="J10" s="105"/>
      <c r="K10" s="105"/>
      <c r="L10" s="105"/>
      <c r="M10" s="105"/>
      <c r="N10" s="105"/>
      <c r="O10" s="105"/>
      <c r="P10" s="105"/>
      <c r="Q10" s="105"/>
      <c r="R10" s="105"/>
      <c r="S10" s="105"/>
    </row>
    <row r="11" spans="1:256" ht="33" customHeight="1">
      <c r="A11" s="370"/>
      <c r="B11" s="370"/>
      <c r="C11" s="370"/>
      <c r="D11" s="370"/>
    </row>
  </sheetData>
  <mergeCells count="2">
    <mergeCell ref="A1:G1"/>
    <mergeCell ref="A11:D1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2"/>
  <sheetViews>
    <sheetView workbookViewId="0">
      <selection activeCell="J12" sqref="J12"/>
    </sheetView>
  </sheetViews>
  <sheetFormatPr defaultColWidth="30.625" defaultRowHeight="14.25"/>
  <cols>
    <col min="1" max="1" width="35.875" style="83"/>
    <col min="2" max="2" width="14.625" style="83" customWidth="1"/>
    <col min="3" max="3" width="13.875" style="83" hidden="1" customWidth="1"/>
    <col min="4" max="4" width="13.5" style="83" customWidth="1"/>
    <col min="5" max="5" width="11.625" style="83" hidden="1" customWidth="1"/>
    <col min="6" max="6" width="10" style="83" hidden="1" customWidth="1"/>
    <col min="7" max="7" width="13.875" style="83" customWidth="1"/>
    <col min="8" max="16" width="10.625" style="83" customWidth="1"/>
    <col min="17" max="17" width="9.75" style="83" customWidth="1"/>
    <col min="18" max="18" width="9.25" style="83" customWidth="1"/>
    <col min="19" max="19" width="9.375" style="83" customWidth="1"/>
    <col min="20" max="16384" width="30.625" style="83"/>
  </cols>
  <sheetData>
    <row r="1" spans="1:7" s="80" customFormat="1" ht="30" customHeight="1">
      <c r="A1" s="349" t="s">
        <v>1702</v>
      </c>
      <c r="B1" s="349"/>
      <c r="C1" s="349"/>
      <c r="D1" s="349"/>
      <c r="E1" s="349"/>
      <c r="F1" s="349"/>
      <c r="G1" s="349"/>
    </row>
    <row r="2" spans="1:7" s="50" customFormat="1" ht="20.100000000000001" customHeight="1">
      <c r="A2" s="57" t="s">
        <v>1703</v>
      </c>
      <c r="B2" s="57"/>
      <c r="D2" s="7"/>
      <c r="G2" s="7" t="s">
        <v>53</v>
      </c>
    </row>
    <row r="3" spans="1:7" s="81" customFormat="1" ht="44.25" customHeight="1">
      <c r="A3" s="58" t="s">
        <v>1704</v>
      </c>
      <c r="B3" s="58" t="s">
        <v>55</v>
      </c>
      <c r="C3" s="58" t="s">
        <v>56</v>
      </c>
      <c r="D3" s="58" t="s">
        <v>57</v>
      </c>
      <c r="E3" s="84" t="s">
        <v>58</v>
      </c>
      <c r="F3" s="107" t="s">
        <v>1705</v>
      </c>
      <c r="G3" s="58" t="s">
        <v>59</v>
      </c>
    </row>
    <row r="4" spans="1:7" ht="24.95" customHeight="1">
      <c r="A4" s="73" t="s">
        <v>1706</v>
      </c>
      <c r="B4" s="97"/>
      <c r="C4" s="98"/>
      <c r="D4" s="97">
        <v>1644</v>
      </c>
      <c r="E4" s="98" t="e">
        <f t="shared" ref="E4:E6" si="0">D4/C4*100</f>
        <v>#DIV/0!</v>
      </c>
      <c r="F4" s="74" t="e">
        <f t="shared" ref="F4:F6" si="1">(D4/B4-1)*100</f>
        <v>#DIV/0!</v>
      </c>
      <c r="G4" s="78"/>
    </row>
    <row r="5" spans="1:7" ht="24.95" customHeight="1">
      <c r="A5" s="75" t="s">
        <v>1707</v>
      </c>
      <c r="B5" s="97"/>
      <c r="C5" s="98"/>
      <c r="D5" s="97">
        <v>1800</v>
      </c>
      <c r="E5" s="98" t="e">
        <f t="shared" si="0"/>
        <v>#DIV/0!</v>
      </c>
      <c r="F5" s="74" t="e">
        <f t="shared" si="1"/>
        <v>#DIV/0!</v>
      </c>
      <c r="G5" s="78"/>
    </row>
    <row r="6" spans="1:7" ht="24.95" customHeight="1">
      <c r="A6" s="75" t="s">
        <v>1708</v>
      </c>
      <c r="B6" s="97">
        <v>2660</v>
      </c>
      <c r="C6" s="98"/>
      <c r="D6" s="97">
        <v>2500</v>
      </c>
      <c r="E6" s="98" t="e">
        <f t="shared" si="0"/>
        <v>#DIV/0!</v>
      </c>
      <c r="F6" s="74">
        <f t="shared" si="1"/>
        <v>-6</v>
      </c>
      <c r="G6" s="99">
        <f>(D6/B6-1)*100</f>
        <v>-6</v>
      </c>
    </row>
    <row r="7" spans="1:7" ht="24.95" customHeight="1">
      <c r="A7" s="108"/>
      <c r="B7" s="98"/>
      <c r="C7" s="98"/>
      <c r="D7" s="98"/>
      <c r="E7" s="98"/>
      <c r="F7" s="74"/>
      <c r="G7" s="99"/>
    </row>
    <row r="8" spans="1:7" ht="24.95" customHeight="1">
      <c r="A8" s="58" t="s">
        <v>113</v>
      </c>
      <c r="B8" s="101">
        <f>SUM(B4:B6)</f>
        <v>2660</v>
      </c>
      <c r="C8" s="101">
        <f>SUM(C4:C6)</f>
        <v>0</v>
      </c>
      <c r="D8" s="101">
        <f>SUM(D4:D6)</f>
        <v>5944</v>
      </c>
      <c r="E8" s="102" t="e">
        <f t="shared" ref="E8:E9" si="2">D8/C8*100</f>
        <v>#DIV/0!</v>
      </c>
      <c r="F8" s="76">
        <f t="shared" ref="F8:F11" si="3">(D8/B8-1)*100</f>
        <v>123</v>
      </c>
      <c r="G8" s="103">
        <f>(D8/B8-1)*100</f>
        <v>123.5</v>
      </c>
    </row>
    <row r="9" spans="1:7" ht="24.95" hidden="1" customHeight="1">
      <c r="A9" s="91" t="s">
        <v>1709</v>
      </c>
      <c r="B9" s="98"/>
      <c r="C9" s="98"/>
      <c r="D9" s="109"/>
      <c r="E9" s="98" t="e">
        <f t="shared" si="2"/>
        <v>#DIV/0!</v>
      </c>
      <c r="F9" s="74" t="e">
        <f t="shared" si="3"/>
        <v>#DIV/0!</v>
      </c>
      <c r="G9" s="78"/>
    </row>
    <row r="10" spans="1:7" ht="24.95" customHeight="1">
      <c r="A10" s="91" t="s">
        <v>1710</v>
      </c>
      <c r="B10" s="98"/>
      <c r="C10" s="98"/>
      <c r="D10" s="109">
        <v>1453</v>
      </c>
      <c r="E10" s="98"/>
      <c r="F10" s="74" t="e">
        <f t="shared" si="3"/>
        <v>#DIV/0!</v>
      </c>
      <c r="G10" s="78"/>
    </row>
    <row r="11" spans="1:7" s="82" customFormat="1" ht="24.95" customHeight="1">
      <c r="A11" s="58" t="s">
        <v>201</v>
      </c>
      <c r="B11" s="102"/>
      <c r="C11" s="102"/>
      <c r="D11" s="102">
        <f>SUM(D8:D10)</f>
        <v>7397</v>
      </c>
      <c r="E11" s="98" t="e">
        <f>D11/C11*100</f>
        <v>#DIV/0!</v>
      </c>
      <c r="F11" s="74" t="e">
        <f t="shared" si="3"/>
        <v>#DIV/0!</v>
      </c>
      <c r="G11" s="78"/>
    </row>
    <row r="12" spans="1:7" ht="42" customHeight="1">
      <c r="A12" s="371"/>
      <c r="B12" s="371"/>
      <c r="C12" s="371"/>
      <c r="D12" s="371"/>
    </row>
  </sheetData>
  <mergeCells count="2">
    <mergeCell ref="A1:G1"/>
    <mergeCell ref="A12:D12"/>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11"/>
  <sheetViews>
    <sheetView workbookViewId="0">
      <selection activeCell="D6" sqref="D6"/>
    </sheetView>
  </sheetViews>
  <sheetFormatPr defaultColWidth="9" defaultRowHeight="14.25"/>
  <cols>
    <col min="1" max="1" width="33" style="30" customWidth="1"/>
    <col min="2" max="2" width="15.625" style="30" customWidth="1"/>
    <col min="3" max="3" width="11.625" style="94" hidden="1" customWidth="1"/>
    <col min="4" max="4" width="15.625" style="94" customWidth="1"/>
    <col min="5" max="5" width="11.625" style="30" hidden="1" customWidth="1"/>
    <col min="6" max="6" width="11.125" style="30" hidden="1" customWidth="1"/>
    <col min="7" max="7" width="12.125" style="30" customWidth="1"/>
    <col min="8" max="16384" width="9" style="30"/>
  </cols>
  <sheetData>
    <row r="1" spans="1:256" s="93" customFormat="1" ht="30" customHeight="1">
      <c r="A1" s="372" t="s">
        <v>1711</v>
      </c>
      <c r="B1" s="372"/>
      <c r="C1" s="372"/>
      <c r="D1" s="372"/>
      <c r="E1" s="372"/>
      <c r="F1" s="372"/>
      <c r="G1" s="372"/>
    </row>
    <row r="2" spans="1:256" s="65" customFormat="1" ht="20.100000000000001" customHeight="1">
      <c r="A2" s="57" t="s">
        <v>1712</v>
      </c>
      <c r="B2" s="57"/>
      <c r="C2" s="95"/>
      <c r="G2" s="67" t="s">
        <v>86</v>
      </c>
    </row>
    <row r="3" spans="1:256" s="66" customFormat="1" ht="35.1" customHeight="1">
      <c r="A3" s="38" t="s">
        <v>204</v>
      </c>
      <c r="B3" s="38" t="s">
        <v>55</v>
      </c>
      <c r="C3" s="96" t="s">
        <v>56</v>
      </c>
      <c r="D3" s="96" t="s">
        <v>57</v>
      </c>
      <c r="E3" s="84" t="s">
        <v>58</v>
      </c>
      <c r="F3" s="84" t="s">
        <v>1698</v>
      </c>
      <c r="G3" s="58" t="s">
        <v>59</v>
      </c>
    </row>
    <row r="4" spans="1:256" ht="24.95" customHeight="1">
      <c r="A4" s="63" t="s">
        <v>1699</v>
      </c>
      <c r="B4" s="97"/>
      <c r="C4" s="97"/>
      <c r="D4" s="97"/>
      <c r="E4" s="98" t="e">
        <f t="shared" ref="E4:E5" si="0">D4/C4*100</f>
        <v>#DIV/0!</v>
      </c>
      <c r="F4" s="98" t="e">
        <f t="shared" ref="F4:F5" si="1">(D4/B4-1)*100</f>
        <v>#DIV/0!</v>
      </c>
      <c r="G4" s="78"/>
    </row>
    <row r="5" spans="1:256" ht="24.95" customHeight="1">
      <c r="A5" s="63" t="s">
        <v>1700</v>
      </c>
      <c r="B5" s="97">
        <v>3150</v>
      </c>
      <c r="C5" s="97"/>
      <c r="D5" s="97">
        <v>4300</v>
      </c>
      <c r="E5" s="98" t="e">
        <f t="shared" si="0"/>
        <v>#DIV/0!</v>
      </c>
      <c r="F5" s="98">
        <f t="shared" si="1"/>
        <v>37</v>
      </c>
      <c r="G5" s="99">
        <f>(D5/B5-1)*100</f>
        <v>36.5</v>
      </c>
    </row>
    <row r="6" spans="1:256" ht="24.95" customHeight="1">
      <c r="A6" s="100"/>
      <c r="B6" s="97"/>
      <c r="C6" s="97"/>
      <c r="D6" s="97"/>
      <c r="E6" s="98"/>
      <c r="F6" s="98"/>
      <c r="G6" s="99"/>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8" t="s">
        <v>83</v>
      </c>
      <c r="B7" s="101">
        <f>SUM(B4:B5)</f>
        <v>3150</v>
      </c>
      <c r="C7" s="101">
        <f>SUM(C4:C5)</f>
        <v>0</v>
      </c>
      <c r="D7" s="101">
        <f>SUM(D4:D5)</f>
        <v>4300</v>
      </c>
      <c r="E7" s="102" t="e">
        <f t="shared" ref="E7:E10" si="2">D7/C7*100</f>
        <v>#DIV/0!</v>
      </c>
      <c r="F7" s="102">
        <f t="shared" ref="F7:F10" si="3">(D7/B7-1)*100</f>
        <v>37</v>
      </c>
      <c r="G7" s="103">
        <f>(D7/B7-1)*100</f>
        <v>36.5</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5" customHeight="1">
      <c r="A8" s="63" t="s">
        <v>1701</v>
      </c>
      <c r="B8" s="97"/>
      <c r="C8" s="97"/>
      <c r="D8" s="74">
        <v>1365</v>
      </c>
      <c r="E8" s="98" t="e">
        <f t="shared" si="2"/>
        <v>#DIV/0!</v>
      </c>
      <c r="F8" s="98" t="e">
        <f t="shared" si="3"/>
        <v>#DIV/0!</v>
      </c>
      <c r="G8" s="104"/>
      <c r="H8" s="105"/>
      <c r="I8" s="105"/>
      <c r="J8" s="105"/>
      <c r="K8" s="105"/>
      <c r="L8" s="105"/>
      <c r="M8" s="105"/>
      <c r="N8" s="105"/>
      <c r="O8" s="105"/>
      <c r="P8" s="105"/>
      <c r="Q8" s="105"/>
      <c r="R8" s="105"/>
      <c r="S8" s="105"/>
    </row>
    <row r="9" spans="1:256" ht="24.95" customHeight="1">
      <c r="A9" s="91" t="s">
        <v>1464</v>
      </c>
      <c r="B9" s="97"/>
      <c r="C9" s="97"/>
      <c r="D9" s="97">
        <v>1044</v>
      </c>
      <c r="E9" s="98" t="e">
        <f t="shared" si="2"/>
        <v>#DIV/0!</v>
      </c>
      <c r="F9" s="98" t="e">
        <f t="shared" si="3"/>
        <v>#DIV/0!</v>
      </c>
      <c r="G9" s="104"/>
      <c r="H9" s="105"/>
      <c r="I9" s="105"/>
      <c r="J9" s="105"/>
      <c r="K9" s="105"/>
      <c r="L9" s="105"/>
      <c r="M9" s="105"/>
      <c r="N9" s="105"/>
      <c r="O9" s="105"/>
      <c r="P9" s="105"/>
      <c r="Q9" s="105"/>
      <c r="R9" s="105"/>
      <c r="S9" s="105"/>
    </row>
    <row r="10" spans="1:256" ht="24.95" customHeight="1">
      <c r="A10" s="106" t="s">
        <v>172</v>
      </c>
      <c r="B10" s="101"/>
      <c r="C10" s="101"/>
      <c r="D10" s="101">
        <f>SUM(D7:D9)</f>
        <v>6709</v>
      </c>
      <c r="E10" s="98" t="e">
        <f t="shared" si="2"/>
        <v>#DIV/0!</v>
      </c>
      <c r="F10" s="98" t="e">
        <f t="shared" si="3"/>
        <v>#DIV/0!</v>
      </c>
      <c r="G10" s="104"/>
      <c r="H10" s="105"/>
      <c r="I10" s="105"/>
      <c r="J10" s="105"/>
      <c r="K10" s="105"/>
      <c r="L10" s="105"/>
      <c r="M10" s="105"/>
      <c r="N10" s="105"/>
      <c r="O10" s="105"/>
      <c r="P10" s="105"/>
      <c r="Q10" s="105"/>
      <c r="R10" s="105"/>
      <c r="S10" s="105"/>
    </row>
    <row r="11" spans="1:256" ht="33" customHeight="1">
      <c r="A11" s="370"/>
      <c r="B11" s="370"/>
      <c r="C11" s="370"/>
      <c r="D11" s="370"/>
    </row>
  </sheetData>
  <mergeCells count="2">
    <mergeCell ref="A1:G1"/>
    <mergeCell ref="A11:D1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5"/>
  <sheetViews>
    <sheetView workbookViewId="0">
      <selection activeCell="G8" sqref="G8"/>
    </sheetView>
  </sheetViews>
  <sheetFormatPr defaultColWidth="30.625" defaultRowHeight="14.25"/>
  <cols>
    <col min="1" max="1" width="42.125" style="83" customWidth="1"/>
    <col min="2" max="2" width="10.625" style="83" hidden="1" customWidth="1"/>
    <col min="3" max="4" width="12.625" style="83" customWidth="1"/>
    <col min="5" max="5" width="12.125" style="83" customWidth="1"/>
    <col min="6" max="6" width="10" style="83" hidden="1" customWidth="1"/>
    <col min="7" max="16384" width="30.625" style="83"/>
  </cols>
  <sheetData>
    <row r="1" spans="1:6" s="80" customFormat="1" ht="30" customHeight="1">
      <c r="A1" s="349" t="s">
        <v>1713</v>
      </c>
      <c r="B1" s="349"/>
      <c r="C1" s="349"/>
      <c r="D1" s="349"/>
      <c r="E1" s="349"/>
      <c r="F1" s="349"/>
    </row>
    <row r="2" spans="1:6" s="50" customFormat="1" ht="20.100000000000001" customHeight="1">
      <c r="A2" s="57" t="s">
        <v>1714</v>
      </c>
      <c r="E2" s="7" t="s">
        <v>53</v>
      </c>
    </row>
    <row r="3" spans="1:6" s="81" customFormat="1" ht="35.1" customHeight="1">
      <c r="A3" s="58" t="s">
        <v>1704</v>
      </c>
      <c r="B3" s="58" t="s">
        <v>1715</v>
      </c>
      <c r="C3" s="58" t="s">
        <v>55</v>
      </c>
      <c r="D3" s="58" t="s">
        <v>57</v>
      </c>
      <c r="E3" s="58" t="s">
        <v>59</v>
      </c>
      <c r="F3" s="84" t="s">
        <v>1698</v>
      </c>
    </row>
    <row r="4" spans="1:6" ht="24.95" customHeight="1">
      <c r="A4" s="85" t="s">
        <v>1716</v>
      </c>
      <c r="B4" s="86">
        <f>SUM(B5:B5)</f>
        <v>292604</v>
      </c>
      <c r="C4" s="36"/>
      <c r="D4" s="36">
        <f>SUM(D5:D6)</f>
        <v>1044</v>
      </c>
      <c r="E4" s="64"/>
      <c r="F4" s="87">
        <f t="shared" ref="F4:F5" si="0">(D4/B4-1)*100</f>
        <v>-99.64</v>
      </c>
    </row>
    <row r="5" spans="1:6" ht="24.95" customHeight="1">
      <c r="A5" s="85" t="s">
        <v>1717</v>
      </c>
      <c r="B5" s="86">
        <v>292604</v>
      </c>
      <c r="C5" s="36"/>
      <c r="D5" s="36">
        <v>1044</v>
      </c>
      <c r="E5" s="64"/>
      <c r="F5" s="87">
        <f t="shared" si="0"/>
        <v>-99.64</v>
      </c>
    </row>
    <row r="6" spans="1:6" ht="24.95" customHeight="1">
      <c r="A6" s="85" t="s">
        <v>1718</v>
      </c>
      <c r="B6" s="86"/>
      <c r="C6" s="36"/>
      <c r="D6" s="36"/>
      <c r="E6" s="64"/>
      <c r="F6" s="87"/>
    </row>
    <row r="7" spans="1:6" ht="24.95" customHeight="1">
      <c r="A7" s="85" t="s">
        <v>1719</v>
      </c>
      <c r="B7" s="86">
        <f>SUM(B8:B8)</f>
        <v>0</v>
      </c>
      <c r="C7" s="36"/>
      <c r="D7" s="36">
        <f>SUM(D8:D8)</f>
        <v>1800</v>
      </c>
      <c r="E7" s="64"/>
      <c r="F7" s="87" t="e">
        <f t="shared" ref="F7" si="1">(D7/B7-1)*100</f>
        <v>#DIV/0!</v>
      </c>
    </row>
    <row r="8" spans="1:6" ht="24.95" customHeight="1">
      <c r="A8" s="85" t="s">
        <v>1720</v>
      </c>
      <c r="B8" s="86"/>
      <c r="C8" s="36"/>
      <c r="D8" s="36">
        <v>1800</v>
      </c>
      <c r="E8" s="64"/>
      <c r="F8" s="87"/>
    </row>
    <row r="9" spans="1:6" ht="24.95" customHeight="1">
      <c r="A9" s="85" t="s">
        <v>1721</v>
      </c>
      <c r="B9" s="86" t="e">
        <f>SUM(#REF!)</f>
        <v>#REF!</v>
      </c>
      <c r="C9" s="36"/>
      <c r="D9" s="36"/>
      <c r="E9" s="64"/>
      <c r="F9" s="87"/>
    </row>
    <row r="10" spans="1:6" ht="24.95" customHeight="1">
      <c r="A10" s="85" t="s">
        <v>1722</v>
      </c>
      <c r="B10" s="86">
        <f>SUM(B11)</f>
        <v>48210</v>
      </c>
      <c r="C10" s="36">
        <f>C11</f>
        <v>2660</v>
      </c>
      <c r="D10" s="36">
        <f>D11</f>
        <v>2500</v>
      </c>
      <c r="E10" s="88">
        <f t="shared" ref="E10:E12" si="2">(D10/C10-1)*100</f>
        <v>-6</v>
      </c>
      <c r="F10" s="87">
        <f t="shared" ref="F10:F12" si="3">(D10/B10-1)*100</f>
        <v>-94.81</v>
      </c>
    </row>
    <row r="11" spans="1:6" ht="24.95" customHeight="1">
      <c r="A11" s="85" t="s">
        <v>1723</v>
      </c>
      <c r="B11" s="86">
        <v>48210</v>
      </c>
      <c r="C11" s="36">
        <v>2660</v>
      </c>
      <c r="D11" s="36">
        <v>2500</v>
      </c>
      <c r="E11" s="88">
        <f t="shared" si="2"/>
        <v>-6</v>
      </c>
      <c r="F11" s="87">
        <f t="shared" si="3"/>
        <v>-94.81</v>
      </c>
    </row>
    <row r="12" spans="1:6" ht="24.95" customHeight="1">
      <c r="A12" s="58" t="s">
        <v>113</v>
      </c>
      <c r="B12" s="89" t="e">
        <f>B4+B7+B9+B10</f>
        <v>#REF!</v>
      </c>
      <c r="C12" s="47">
        <f>SUM(C4,C7,C9,C10)</f>
        <v>2660</v>
      </c>
      <c r="D12" s="47">
        <f>SUM(D4,D7,D9,D10)</f>
        <v>5344</v>
      </c>
      <c r="E12" s="90">
        <f t="shared" si="2"/>
        <v>100.9</v>
      </c>
      <c r="F12" s="87" t="e">
        <f t="shared" si="3"/>
        <v>#REF!</v>
      </c>
    </row>
    <row r="13" spans="1:6" ht="24.95" hidden="1" customHeight="1">
      <c r="A13" s="91" t="s">
        <v>1724</v>
      </c>
      <c r="B13" s="86">
        <v>10000</v>
      </c>
      <c r="C13" s="36"/>
      <c r="D13" s="36"/>
      <c r="E13" s="64"/>
      <c r="F13" s="87">
        <f t="shared" ref="F13:F15" si="4">(D13/B13-1)*100</f>
        <v>-100</v>
      </c>
    </row>
    <row r="14" spans="1:6" s="51" customFormat="1" ht="24.95" customHeight="1">
      <c r="A14" s="85" t="s">
        <v>1710</v>
      </c>
      <c r="B14" s="86">
        <v>42358</v>
      </c>
      <c r="C14" s="36"/>
      <c r="D14" s="36">
        <v>1365</v>
      </c>
      <c r="E14" s="64"/>
      <c r="F14" s="87">
        <f t="shared" si="4"/>
        <v>-96.78</v>
      </c>
    </row>
    <row r="15" spans="1:6" s="82" customFormat="1" ht="24.95" customHeight="1">
      <c r="A15" s="58" t="s">
        <v>201</v>
      </c>
      <c r="B15" s="89" t="e">
        <f>B12+#REF!</f>
        <v>#REF!</v>
      </c>
      <c r="C15" s="47"/>
      <c r="D15" s="47">
        <f>SUM(D12:D14)</f>
        <v>6709</v>
      </c>
      <c r="E15" s="92"/>
      <c r="F15" s="87" t="e">
        <f t="shared" si="4"/>
        <v>#REF!</v>
      </c>
    </row>
  </sheetData>
  <mergeCells count="1">
    <mergeCell ref="A1:F1"/>
  </mergeCells>
  <phoneticPr fontId="54" type="noConversion"/>
  <printOptions horizontalCentered="1"/>
  <pageMargins left="0.74791666666666701" right="0.74791666666666701" top="0.98402777777777795" bottom="0.98402777777777795" header="0.51180555555555596" footer="0.51180555555555596"/>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3"/>
  <sheetViews>
    <sheetView workbookViewId="0">
      <selection activeCell="D12" sqref="D12"/>
    </sheetView>
  </sheetViews>
  <sheetFormatPr defaultColWidth="9" defaultRowHeight="14.25"/>
  <cols>
    <col min="1" max="1" width="35.375" style="30" customWidth="1"/>
    <col min="2" max="2" width="9.75" style="30" customWidth="1"/>
    <col min="3" max="4" width="10.25" style="30" customWidth="1"/>
    <col min="5" max="5" width="10.875" style="30" customWidth="1"/>
    <col min="6" max="6" width="9" style="30" customWidth="1"/>
    <col min="7" max="16384" width="9" style="30"/>
  </cols>
  <sheetData>
    <row r="1" spans="1:5" ht="30" customHeight="1">
      <c r="A1" s="372" t="s">
        <v>1725</v>
      </c>
      <c r="B1" s="372"/>
      <c r="C1" s="372"/>
      <c r="D1" s="372"/>
      <c r="E1" s="372"/>
    </row>
    <row r="2" spans="1:5" s="65" customFormat="1" ht="20.100000000000001" customHeight="1">
      <c r="A2" s="57" t="s">
        <v>1726</v>
      </c>
      <c r="B2" s="57"/>
      <c r="C2" s="57"/>
      <c r="E2" s="67" t="s">
        <v>53</v>
      </c>
    </row>
    <row r="3" spans="1:5" s="66" customFormat="1" ht="40.5">
      <c r="A3" s="38" t="s">
        <v>204</v>
      </c>
      <c r="B3" s="58" t="s">
        <v>176</v>
      </c>
      <c r="C3" s="59" t="s">
        <v>138</v>
      </c>
      <c r="D3" s="59" t="s">
        <v>139</v>
      </c>
      <c r="E3" s="60" t="s">
        <v>1460</v>
      </c>
    </row>
    <row r="4" spans="1:5" ht="24.95" customHeight="1">
      <c r="A4" s="63" t="s">
        <v>1699</v>
      </c>
      <c r="B4" s="63"/>
      <c r="C4" s="36"/>
      <c r="D4" s="36"/>
      <c r="E4" s="68"/>
    </row>
    <row r="5" spans="1:5" ht="24.95" customHeight="1">
      <c r="A5" s="63" t="s">
        <v>1727</v>
      </c>
      <c r="B5" s="36">
        <v>490</v>
      </c>
      <c r="C5" s="36"/>
      <c r="D5" s="36"/>
      <c r="E5" s="68"/>
    </row>
    <row r="6" spans="1:5" ht="24.95" customHeight="1">
      <c r="A6" s="63" t="s">
        <v>1700</v>
      </c>
      <c r="B6" s="36">
        <v>3510</v>
      </c>
      <c r="C6" s="36">
        <v>4300</v>
      </c>
      <c r="D6" s="36">
        <v>4200</v>
      </c>
      <c r="E6" s="61">
        <f>(D6/B6-1)*100</f>
        <v>19.7</v>
      </c>
    </row>
    <row r="7" spans="1:5" ht="24.95" customHeight="1">
      <c r="A7" s="63"/>
      <c r="B7" s="63"/>
      <c r="C7" s="36"/>
      <c r="D7" s="36"/>
      <c r="E7" s="61"/>
    </row>
    <row r="8" spans="1:5" ht="24.95" customHeight="1">
      <c r="A8" s="79" t="s">
        <v>83</v>
      </c>
      <c r="B8" s="47">
        <f>SUM(B4:B6)</f>
        <v>4000</v>
      </c>
      <c r="C8" s="47">
        <f>SUM(C4:C6)</f>
        <v>4300</v>
      </c>
      <c r="D8" s="47">
        <f>SUM(D4:D6)</f>
        <v>4200</v>
      </c>
      <c r="E8" s="62">
        <f>(D8/B8-1)*100</f>
        <v>5</v>
      </c>
    </row>
    <row r="9" spans="1:5" ht="24.95" customHeight="1">
      <c r="A9" s="63" t="s">
        <v>163</v>
      </c>
      <c r="B9" s="63"/>
      <c r="C9" s="47"/>
      <c r="D9" s="47">
        <f>D10</f>
        <v>2000</v>
      </c>
      <c r="E9" s="61"/>
    </row>
    <row r="10" spans="1:5" ht="24.95" customHeight="1">
      <c r="A10" s="63" t="s">
        <v>1728</v>
      </c>
      <c r="B10" s="63"/>
      <c r="C10" s="36"/>
      <c r="D10" s="36">
        <v>2000</v>
      </c>
      <c r="E10" s="61"/>
    </row>
    <row r="11" spans="1:5" ht="24.95" customHeight="1">
      <c r="A11" s="63" t="s">
        <v>1729</v>
      </c>
      <c r="B11" s="63"/>
      <c r="C11" s="36"/>
      <c r="D11" s="36">
        <v>1453</v>
      </c>
      <c r="E11" s="61"/>
    </row>
    <row r="12" spans="1:5" ht="24.95" customHeight="1">
      <c r="A12" s="79" t="s">
        <v>172</v>
      </c>
      <c r="B12" s="79"/>
      <c r="C12" s="47"/>
      <c r="D12" s="47">
        <f>SUM(D8:D9)+D11</f>
        <v>7653</v>
      </c>
      <c r="E12" s="61"/>
    </row>
    <row r="13" spans="1:5">
      <c r="A13" s="70"/>
      <c r="B13" s="71"/>
    </row>
  </sheetData>
  <mergeCells count="1">
    <mergeCell ref="A1:E1"/>
  </mergeCells>
  <phoneticPr fontId="54" type="noConversion"/>
  <printOptions horizontalCentered="1"/>
  <pageMargins left="0.86527777777777803" right="0.74791666666666701" top="0.98402777777777795" bottom="0.98402777777777795" header="0.51180555555555596" footer="0.51180555555555596"/>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5"/>
  <sheetViews>
    <sheetView workbookViewId="0">
      <selection activeCell="G7" sqref="G7"/>
    </sheetView>
  </sheetViews>
  <sheetFormatPr defaultColWidth="9" defaultRowHeight="12.75"/>
  <cols>
    <col min="1" max="1" width="32.375" style="56" customWidth="1"/>
    <col min="2" max="2" width="10.875" style="56" customWidth="1"/>
    <col min="3" max="3" width="12" style="56" customWidth="1"/>
    <col min="4" max="4" width="12.25" style="56" customWidth="1"/>
    <col min="5" max="5" width="11.125" style="56" customWidth="1"/>
    <col min="6" max="6" width="9" style="56" customWidth="1"/>
    <col min="7" max="16384" width="9" style="56"/>
  </cols>
  <sheetData>
    <row r="1" spans="1:5" s="72" customFormat="1" ht="30" customHeight="1">
      <c r="A1" s="372" t="s">
        <v>1730</v>
      </c>
      <c r="B1" s="372"/>
      <c r="C1" s="372"/>
      <c r="D1" s="372"/>
      <c r="E1" s="372"/>
    </row>
    <row r="2" spans="1:5" s="55" customFormat="1" ht="20.100000000000001" customHeight="1">
      <c r="A2" s="57" t="s">
        <v>1731</v>
      </c>
      <c r="B2" s="57"/>
      <c r="E2" s="33" t="s">
        <v>86</v>
      </c>
    </row>
    <row r="3" spans="1:5" ht="40.5">
      <c r="A3" s="38" t="s">
        <v>1704</v>
      </c>
      <c r="B3" s="58" t="s">
        <v>176</v>
      </c>
      <c r="C3" s="59" t="s">
        <v>138</v>
      </c>
      <c r="D3" s="59" t="s">
        <v>139</v>
      </c>
      <c r="E3" s="60" t="s">
        <v>1460</v>
      </c>
    </row>
    <row r="4" spans="1:5" ht="24.95" customHeight="1">
      <c r="A4" s="73" t="s">
        <v>1706</v>
      </c>
      <c r="B4" s="74">
        <v>1500</v>
      </c>
      <c r="C4" s="74">
        <v>1644</v>
      </c>
      <c r="D4" s="74">
        <f>1453+2000</f>
        <v>3453</v>
      </c>
      <c r="E4" s="61">
        <f t="shared" ref="E4" si="0">(D4/B4-1)*100</f>
        <v>130.19999999999999</v>
      </c>
    </row>
    <row r="5" spans="1:5" ht="24.95" customHeight="1">
      <c r="A5" s="75" t="s">
        <v>1707</v>
      </c>
      <c r="B5" s="74">
        <v>3750</v>
      </c>
      <c r="C5" s="74">
        <v>1800</v>
      </c>
      <c r="D5" s="74"/>
      <c r="E5" s="61"/>
    </row>
    <row r="6" spans="1:5" ht="24.95" customHeight="1">
      <c r="A6" s="75" t="s">
        <v>1708</v>
      </c>
      <c r="B6" s="74">
        <v>250</v>
      </c>
      <c r="C6" s="74">
        <v>2500</v>
      </c>
      <c r="D6" s="74">
        <f>4200</f>
        <v>4200</v>
      </c>
      <c r="E6" s="61">
        <f>(D6/B6-1)*100</f>
        <v>1580</v>
      </c>
    </row>
    <row r="7" spans="1:5" ht="24.95" customHeight="1">
      <c r="A7" s="75"/>
      <c r="B7" s="75"/>
      <c r="C7" s="74"/>
      <c r="D7" s="74"/>
      <c r="E7" s="61"/>
    </row>
    <row r="8" spans="1:5" ht="24.95" customHeight="1">
      <c r="A8" s="38" t="s">
        <v>113</v>
      </c>
      <c r="B8" s="76">
        <f>SUM(B4:B6)</f>
        <v>5500</v>
      </c>
      <c r="C8" s="76">
        <f>SUM(C4:C6)</f>
        <v>5944</v>
      </c>
      <c r="D8" s="76">
        <f>SUM(D4:D6)</f>
        <v>7653</v>
      </c>
      <c r="E8" s="62">
        <f>(D8/B8-1)*100</f>
        <v>39.1</v>
      </c>
    </row>
    <row r="9" spans="1:5" ht="24.95" hidden="1" customHeight="1">
      <c r="A9" s="63" t="s">
        <v>216</v>
      </c>
      <c r="B9" s="63"/>
      <c r="C9" s="76"/>
      <c r="D9" s="76">
        <f>D10</f>
        <v>0</v>
      </c>
      <c r="E9" s="77"/>
    </row>
    <row r="10" spans="1:5" ht="24.95" hidden="1" customHeight="1">
      <c r="A10" s="63" t="s">
        <v>1732</v>
      </c>
      <c r="B10" s="63"/>
      <c r="C10" s="76"/>
      <c r="D10" s="76">
        <f>D11</f>
        <v>0</v>
      </c>
      <c r="E10" s="77"/>
    </row>
    <row r="11" spans="1:5" ht="24.95" hidden="1" customHeight="1">
      <c r="A11" s="63" t="s">
        <v>1733</v>
      </c>
      <c r="B11" s="63"/>
      <c r="C11" s="74"/>
      <c r="D11" s="74"/>
      <c r="E11" s="78"/>
    </row>
    <row r="12" spans="1:5" ht="24.95" hidden="1" customHeight="1">
      <c r="A12" s="63" t="s">
        <v>1734</v>
      </c>
      <c r="B12" s="63"/>
      <c r="C12" s="74"/>
      <c r="D12" s="74"/>
      <c r="E12" s="78"/>
    </row>
    <row r="13" spans="1:5" ht="24.95" customHeight="1">
      <c r="A13" s="63"/>
      <c r="B13" s="63"/>
      <c r="C13" s="74"/>
      <c r="D13" s="74"/>
      <c r="E13" s="78"/>
    </row>
    <row r="14" spans="1:5" ht="24.95" customHeight="1">
      <c r="A14" s="38" t="s">
        <v>201</v>
      </c>
      <c r="B14" s="38"/>
      <c r="C14" s="76"/>
      <c r="D14" s="76">
        <f>SUM(D8:D9)</f>
        <v>7653</v>
      </c>
      <c r="E14" s="78"/>
    </row>
    <row r="15" spans="1:5" ht="18" customHeight="1">
      <c r="A15" s="351"/>
      <c r="B15" s="351"/>
      <c r="C15" s="351"/>
    </row>
  </sheetData>
  <mergeCells count="2">
    <mergeCell ref="A1:E1"/>
    <mergeCell ref="A15:C15"/>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colBreaks count="1" manualBreakCount="1">
    <brk id="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3"/>
  <sheetViews>
    <sheetView showZeros="0" workbookViewId="0">
      <selection activeCell="K8" sqref="K8"/>
    </sheetView>
  </sheetViews>
  <sheetFormatPr defaultColWidth="9" defaultRowHeight="14.25"/>
  <cols>
    <col min="1" max="1" width="30.375" style="30" customWidth="1"/>
    <col min="2" max="2" width="11.5" style="30" customWidth="1"/>
    <col min="3" max="3" width="12.125" style="30" customWidth="1"/>
    <col min="4" max="4" width="11.375" style="30" customWidth="1"/>
    <col min="5" max="5" width="12.75" style="30" customWidth="1"/>
    <col min="6" max="6" width="9" style="30" customWidth="1"/>
    <col min="7" max="16384" width="9" style="30"/>
  </cols>
  <sheetData>
    <row r="1" spans="1:5" ht="30" customHeight="1">
      <c r="A1" s="372" t="s">
        <v>1735</v>
      </c>
      <c r="B1" s="372"/>
      <c r="C1" s="372"/>
      <c r="D1" s="372"/>
      <c r="E1" s="372"/>
    </row>
    <row r="2" spans="1:5" s="65" customFormat="1" ht="20.100000000000001" customHeight="1">
      <c r="A2" s="57" t="s">
        <v>1736</v>
      </c>
      <c r="B2" s="57"/>
      <c r="C2" s="57"/>
      <c r="E2" s="67" t="s">
        <v>53</v>
      </c>
    </row>
    <row r="3" spans="1:5" s="66" customFormat="1" ht="40.5">
      <c r="A3" s="38" t="s">
        <v>204</v>
      </c>
      <c r="B3" s="58" t="s">
        <v>176</v>
      </c>
      <c r="C3" s="59" t="s">
        <v>138</v>
      </c>
      <c r="D3" s="59" t="s">
        <v>139</v>
      </c>
      <c r="E3" s="60" t="s">
        <v>1460</v>
      </c>
    </row>
    <row r="4" spans="1:5" ht="24.95" customHeight="1">
      <c r="A4" s="63" t="s">
        <v>1699</v>
      </c>
      <c r="B4" s="63"/>
      <c r="C4" s="36"/>
      <c r="D4" s="36"/>
      <c r="E4" s="68"/>
    </row>
    <row r="5" spans="1:5" ht="24.95" customHeight="1">
      <c r="A5" s="63" t="s">
        <v>1727</v>
      </c>
      <c r="B5" s="36">
        <v>490</v>
      </c>
      <c r="C5" s="36"/>
      <c r="D5" s="36"/>
      <c r="E5" s="68"/>
    </row>
    <row r="6" spans="1:5" ht="24.95" customHeight="1">
      <c r="A6" s="63" t="s">
        <v>1700</v>
      </c>
      <c r="B6" s="36">
        <v>3510</v>
      </c>
      <c r="C6" s="36">
        <v>4300</v>
      </c>
      <c r="D6" s="36">
        <v>4200</v>
      </c>
      <c r="E6" s="61">
        <f>(D6/B6-1)*100</f>
        <v>19.7</v>
      </c>
    </row>
    <row r="7" spans="1:5" ht="24.95" customHeight="1">
      <c r="A7" s="63"/>
      <c r="B7" s="63"/>
      <c r="C7" s="36"/>
      <c r="D7" s="36"/>
      <c r="E7" s="61"/>
    </row>
    <row r="8" spans="1:5" ht="24.95" customHeight="1">
      <c r="A8" s="38" t="s">
        <v>83</v>
      </c>
      <c r="B8" s="47">
        <f>SUM(B4:B6)</f>
        <v>4000</v>
      </c>
      <c r="C8" s="47">
        <f>SUM(C4:C6)</f>
        <v>4300</v>
      </c>
      <c r="D8" s="47">
        <f>SUM(D4:D6)</f>
        <v>4200</v>
      </c>
      <c r="E8" s="62">
        <f>(D8/B8-1)*100</f>
        <v>5</v>
      </c>
    </row>
    <row r="9" spans="1:5" ht="24.95" customHeight="1">
      <c r="A9" s="63" t="s">
        <v>163</v>
      </c>
      <c r="B9" s="63"/>
      <c r="C9" s="47"/>
      <c r="D9" s="47">
        <f>D10</f>
        <v>2000</v>
      </c>
      <c r="E9" s="69"/>
    </row>
    <row r="10" spans="1:5" ht="24.95" customHeight="1">
      <c r="A10" s="63" t="s">
        <v>1728</v>
      </c>
      <c r="B10" s="63"/>
      <c r="C10" s="36"/>
      <c r="D10" s="36">
        <v>2000</v>
      </c>
      <c r="E10" s="68"/>
    </row>
    <row r="11" spans="1:5" ht="24.95" customHeight="1">
      <c r="A11" s="63" t="s">
        <v>1729</v>
      </c>
      <c r="B11" s="63"/>
      <c r="C11" s="36"/>
      <c r="D11" s="36">
        <v>1365</v>
      </c>
      <c r="E11" s="68"/>
    </row>
    <row r="12" spans="1:5" ht="24.95" customHeight="1">
      <c r="A12" s="38" t="s">
        <v>172</v>
      </c>
      <c r="B12" s="38"/>
      <c r="C12" s="47"/>
      <c r="D12" s="47">
        <f>SUM(D8:D9)+D11</f>
        <v>7565</v>
      </c>
      <c r="E12" s="68"/>
    </row>
    <row r="13" spans="1:5">
      <c r="A13" s="70"/>
      <c r="B13" s="71"/>
    </row>
  </sheetData>
  <mergeCells count="1">
    <mergeCell ref="A1:E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showZeros="0" workbookViewId="0">
      <selection activeCell="G17" sqref="G17"/>
    </sheetView>
  </sheetViews>
  <sheetFormatPr defaultColWidth="9" defaultRowHeight="12.75"/>
  <cols>
    <col min="1" max="1" width="37.5" style="56" customWidth="1"/>
    <col min="2" max="4" width="10.125" style="56" customWidth="1"/>
    <col min="5" max="5" width="11.125" style="56" customWidth="1"/>
    <col min="6" max="6" width="9" style="56" customWidth="1"/>
    <col min="7" max="16384" width="9" style="56"/>
  </cols>
  <sheetData>
    <row r="1" spans="1:5" ht="30" customHeight="1">
      <c r="A1" s="372" t="s">
        <v>1737</v>
      </c>
      <c r="B1" s="372"/>
      <c r="C1" s="372"/>
      <c r="D1" s="372"/>
      <c r="E1" s="372"/>
    </row>
    <row r="2" spans="1:5" s="55" customFormat="1" ht="20.100000000000001" customHeight="1">
      <c r="A2" s="57" t="s">
        <v>1738</v>
      </c>
      <c r="B2" s="57"/>
      <c r="C2" s="57"/>
      <c r="E2" s="33" t="s">
        <v>86</v>
      </c>
    </row>
    <row r="3" spans="1:5" ht="40.5">
      <c r="A3" s="38" t="s">
        <v>1704</v>
      </c>
      <c r="B3" s="58" t="s">
        <v>176</v>
      </c>
      <c r="C3" s="59" t="s">
        <v>138</v>
      </c>
      <c r="D3" s="59" t="s">
        <v>139</v>
      </c>
      <c r="E3" s="60" t="s">
        <v>1460</v>
      </c>
    </row>
    <row r="4" spans="1:5" ht="24.95" customHeight="1">
      <c r="A4" s="53" t="s">
        <v>1716</v>
      </c>
      <c r="B4" s="36">
        <f>SUM(B5:B6)</f>
        <v>1500</v>
      </c>
      <c r="C4" s="36">
        <f>SUM(C5:C6)</f>
        <v>1045</v>
      </c>
      <c r="D4" s="36">
        <f>SUM(D5:D6)</f>
        <v>2765</v>
      </c>
      <c r="E4" s="61">
        <f>(D4/B4-1)*100</f>
        <v>84.3</v>
      </c>
    </row>
    <row r="5" spans="1:5" ht="24.95" customHeight="1">
      <c r="A5" s="35" t="s">
        <v>1717</v>
      </c>
      <c r="B5" s="36">
        <v>1500</v>
      </c>
      <c r="C5" s="36">
        <v>1045</v>
      </c>
      <c r="D5" s="36">
        <f>1400+1365</f>
        <v>2765</v>
      </c>
      <c r="E5" s="61">
        <f>(D5/B5-1)*100</f>
        <v>84.3</v>
      </c>
    </row>
    <row r="6" spans="1:5" ht="24.95" customHeight="1">
      <c r="A6" s="35" t="s">
        <v>1718</v>
      </c>
      <c r="B6" s="36"/>
      <c r="C6" s="36"/>
      <c r="D6" s="36"/>
      <c r="E6" s="61"/>
    </row>
    <row r="7" spans="1:5" ht="24.95" customHeight="1">
      <c r="A7" s="53" t="s">
        <v>1719</v>
      </c>
      <c r="B7" s="36">
        <f>B8</f>
        <v>3750</v>
      </c>
      <c r="C7" s="36">
        <f>C8</f>
        <v>1800</v>
      </c>
      <c r="D7" s="36"/>
      <c r="E7" s="61"/>
    </row>
    <row r="8" spans="1:5" ht="24.95" customHeight="1">
      <c r="A8" s="53" t="s">
        <v>1720</v>
      </c>
      <c r="B8" s="36">
        <v>3750</v>
      </c>
      <c r="C8" s="36">
        <v>1800</v>
      </c>
      <c r="D8" s="36"/>
      <c r="E8" s="61"/>
    </row>
    <row r="9" spans="1:5" ht="24.95" customHeight="1">
      <c r="A9" s="53" t="s">
        <v>1739</v>
      </c>
      <c r="B9" s="36">
        <f>B10</f>
        <v>250</v>
      </c>
      <c r="C9" s="36">
        <f>C10</f>
        <v>2500</v>
      </c>
      <c r="D9" s="36">
        <f t="shared" ref="D9" si="0">D10</f>
        <v>4200</v>
      </c>
      <c r="E9" s="61">
        <f t="shared" ref="E9:E11" si="1">(D9/B9-1)*100</f>
        <v>1580</v>
      </c>
    </row>
    <row r="10" spans="1:5" ht="24.95" customHeight="1">
      <c r="A10" s="53" t="s">
        <v>1723</v>
      </c>
      <c r="B10" s="36">
        <v>250</v>
      </c>
      <c r="C10" s="36">
        <v>2500</v>
      </c>
      <c r="D10" s="36">
        <v>4200</v>
      </c>
      <c r="E10" s="61">
        <f t="shared" si="1"/>
        <v>1580</v>
      </c>
    </row>
    <row r="11" spans="1:5" ht="24.95" customHeight="1">
      <c r="A11" s="38" t="s">
        <v>113</v>
      </c>
      <c r="B11" s="47">
        <f>B4+B7+B9</f>
        <v>5500</v>
      </c>
      <c r="C11" s="47">
        <f>C4+C7+C9</f>
        <v>5345</v>
      </c>
      <c r="D11" s="47">
        <f>D4+D7+D9</f>
        <v>6965</v>
      </c>
      <c r="E11" s="62">
        <f t="shared" si="1"/>
        <v>26.6</v>
      </c>
    </row>
    <row r="12" spans="1:5" ht="24.95" customHeight="1">
      <c r="A12" s="63" t="s">
        <v>216</v>
      </c>
      <c r="B12" s="63"/>
      <c r="C12" s="36"/>
      <c r="D12" s="36">
        <f>D13</f>
        <v>600</v>
      </c>
      <c r="E12" s="64"/>
    </row>
    <row r="13" spans="1:5" ht="24.95" customHeight="1">
      <c r="A13" s="63" t="s">
        <v>1732</v>
      </c>
      <c r="B13" s="63"/>
      <c r="C13" s="36"/>
      <c r="D13" s="36">
        <f>D14</f>
        <v>600</v>
      </c>
      <c r="E13" s="64"/>
    </row>
    <row r="14" spans="1:5" ht="24.95" customHeight="1">
      <c r="A14" s="63" t="s">
        <v>1733</v>
      </c>
      <c r="B14" s="63"/>
      <c r="C14" s="36"/>
      <c r="D14" s="36">
        <v>600</v>
      </c>
      <c r="E14" s="64"/>
    </row>
    <row r="15" spans="1:5" ht="24.95" customHeight="1">
      <c r="A15" s="38" t="s">
        <v>201</v>
      </c>
      <c r="B15" s="38"/>
      <c r="C15" s="47"/>
      <c r="D15" s="47">
        <f>D11+D12</f>
        <v>7565</v>
      </c>
      <c r="E15" s="64"/>
    </row>
    <row r="16" spans="1:5" ht="13.5">
      <c r="A16" s="351"/>
      <c r="B16" s="351"/>
      <c r="C16" s="351"/>
    </row>
  </sheetData>
  <mergeCells count="2">
    <mergeCell ref="A1:E1"/>
    <mergeCell ref="A16:C16"/>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7"/>
  <sheetViews>
    <sheetView zoomScale="130" zoomScaleNormal="130" workbookViewId="0">
      <selection activeCell="F11" sqref="F11"/>
    </sheetView>
  </sheetViews>
  <sheetFormatPr defaultColWidth="9" defaultRowHeight="14.25"/>
  <cols>
    <col min="1" max="1" width="34" style="52"/>
    <col min="2" max="4" width="10.875" style="52" customWidth="1"/>
    <col min="5" max="9" width="9.5" style="52" customWidth="1"/>
    <col min="10" max="10" width="9" style="52" customWidth="1"/>
    <col min="11" max="16384" width="9" style="52"/>
  </cols>
  <sheetData>
    <row r="1" spans="1:9" ht="30" customHeight="1">
      <c r="A1" s="349" t="s">
        <v>1740</v>
      </c>
      <c r="B1" s="349"/>
      <c r="C1" s="349"/>
      <c r="D1" s="349"/>
      <c r="E1" s="349"/>
      <c r="F1" s="349"/>
      <c r="G1" s="349"/>
      <c r="H1" s="349"/>
      <c r="I1" s="349"/>
    </row>
    <row r="2" spans="1:9" s="50" customFormat="1" ht="20.100000000000001" customHeight="1">
      <c r="A2" s="4" t="s">
        <v>1741</v>
      </c>
      <c r="I2" s="33" t="s">
        <v>86</v>
      </c>
    </row>
    <row r="3" spans="1:9" ht="30.75" customHeight="1">
      <c r="A3" s="8" t="s">
        <v>1704</v>
      </c>
      <c r="B3" s="8" t="s">
        <v>1294</v>
      </c>
      <c r="C3" s="8" t="s">
        <v>1686</v>
      </c>
      <c r="D3" s="8" t="s">
        <v>1287</v>
      </c>
      <c r="E3" s="8" t="s">
        <v>1296</v>
      </c>
      <c r="F3" s="8" t="s">
        <v>1297</v>
      </c>
      <c r="G3" s="8" t="s">
        <v>1298</v>
      </c>
      <c r="H3" s="8" t="s">
        <v>1299</v>
      </c>
      <c r="I3" s="8" t="s">
        <v>1300</v>
      </c>
    </row>
    <row r="4" spans="1:9" ht="30.75" customHeight="1">
      <c r="A4" s="53" t="s">
        <v>1716</v>
      </c>
      <c r="B4" s="36">
        <f>SUM(C4:D4)</f>
        <v>2000</v>
      </c>
      <c r="C4" s="36">
        <v>1400</v>
      </c>
      <c r="D4" s="36">
        <f>SUM(E4:I4)</f>
        <v>600</v>
      </c>
      <c r="E4" s="36">
        <v>50</v>
      </c>
      <c r="F4" s="36">
        <v>5</v>
      </c>
      <c r="G4" s="36">
        <v>230</v>
      </c>
      <c r="H4" s="36">
        <v>275</v>
      </c>
      <c r="I4" s="36">
        <v>40</v>
      </c>
    </row>
    <row r="5" spans="1:9" ht="30.75" customHeight="1">
      <c r="A5" s="35" t="s">
        <v>1717</v>
      </c>
      <c r="B5" s="36">
        <f>SUM(C5:D5)</f>
        <v>2000</v>
      </c>
      <c r="C5" s="36">
        <v>1400</v>
      </c>
      <c r="D5" s="36">
        <f>SUM(E5:I5)</f>
        <v>600</v>
      </c>
      <c r="E5" s="36">
        <v>50</v>
      </c>
      <c r="F5" s="36">
        <v>5</v>
      </c>
      <c r="G5" s="36">
        <v>230</v>
      </c>
      <c r="H5" s="36">
        <v>275</v>
      </c>
      <c r="I5" s="36">
        <v>40</v>
      </c>
    </row>
    <row r="6" spans="1:9" s="51" customFormat="1" ht="30.75" customHeight="1">
      <c r="A6" s="38" t="s">
        <v>1742</v>
      </c>
      <c r="B6" s="47">
        <f>B4</f>
        <v>2000</v>
      </c>
      <c r="C6" s="47">
        <f t="shared" ref="C6:I6" si="0">C4</f>
        <v>1400</v>
      </c>
      <c r="D6" s="47">
        <f t="shared" si="0"/>
        <v>600</v>
      </c>
      <c r="E6" s="47">
        <f t="shared" si="0"/>
        <v>50</v>
      </c>
      <c r="F6" s="47">
        <f t="shared" si="0"/>
        <v>5</v>
      </c>
      <c r="G6" s="47">
        <f t="shared" si="0"/>
        <v>230</v>
      </c>
      <c r="H6" s="47">
        <f t="shared" si="0"/>
        <v>275</v>
      </c>
      <c r="I6" s="47">
        <f t="shared" si="0"/>
        <v>40</v>
      </c>
    </row>
    <row r="7" spans="1:9">
      <c r="A7" s="54"/>
    </row>
  </sheetData>
  <mergeCells count="1">
    <mergeCell ref="A1:I1"/>
  </mergeCells>
  <phoneticPr fontId="54" type="noConversion"/>
  <pageMargins left="0.98402777777777795" right="0.78680555555555598" top="0.78680555555555598" bottom="0.78680555555555598" header="0.31388888888888899" footer="0.31388888888888899"/>
  <pageSetup paperSize="9"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3"/>
  <sheetViews>
    <sheetView workbookViewId="0">
      <selection activeCell="A11" sqref="A11"/>
    </sheetView>
  </sheetViews>
  <sheetFormatPr defaultColWidth="9" defaultRowHeight="13.5"/>
  <cols>
    <col min="1" max="1" width="34.875" style="31" customWidth="1"/>
    <col min="2" max="2" width="15" style="31" customWidth="1"/>
    <col min="3" max="6" width="12.875" style="31" customWidth="1"/>
    <col min="7" max="7" width="13.375" style="31" customWidth="1"/>
    <col min="8" max="16384" width="9" style="31"/>
  </cols>
  <sheetData>
    <row r="1" spans="1:10" s="29" customFormat="1" ht="24">
      <c r="A1" s="372" t="s">
        <v>1743</v>
      </c>
      <c r="B1" s="372"/>
      <c r="C1" s="372"/>
      <c r="D1" s="372"/>
      <c r="E1" s="372"/>
      <c r="F1" s="372"/>
      <c r="G1" s="372"/>
    </row>
    <row r="2" spans="1:10" ht="23.25" customHeight="1">
      <c r="A2" s="4" t="s">
        <v>1744</v>
      </c>
      <c r="C2" s="30"/>
      <c r="D2" s="30"/>
      <c r="E2" s="30"/>
      <c r="F2" s="33"/>
      <c r="G2" s="33" t="s">
        <v>86</v>
      </c>
    </row>
    <row r="3" spans="1:10" ht="35.25" customHeight="1">
      <c r="A3" s="373" t="s">
        <v>54</v>
      </c>
      <c r="B3" s="373" t="s">
        <v>1464</v>
      </c>
      <c r="C3" s="373" t="s">
        <v>1745</v>
      </c>
      <c r="D3" s="373"/>
      <c r="E3" s="373" t="s">
        <v>1746</v>
      </c>
      <c r="F3" s="373"/>
      <c r="G3" s="373" t="s">
        <v>1747</v>
      </c>
    </row>
    <row r="4" spans="1:10" ht="35.25" customHeight="1">
      <c r="A4" s="373"/>
      <c r="B4" s="373"/>
      <c r="C4" s="8" t="s">
        <v>223</v>
      </c>
      <c r="D4" s="8" t="s">
        <v>1748</v>
      </c>
      <c r="E4" s="8" t="s">
        <v>223</v>
      </c>
      <c r="F4" s="8" t="s">
        <v>1748</v>
      </c>
      <c r="G4" s="373"/>
    </row>
    <row r="5" spans="1:10" ht="35.25" customHeight="1">
      <c r="A5" s="35" t="s">
        <v>1749</v>
      </c>
      <c r="B5" s="36">
        <v>49642</v>
      </c>
      <c r="C5" s="36">
        <v>24180</v>
      </c>
      <c r="D5" s="36">
        <v>23173</v>
      </c>
      <c r="E5" s="36">
        <v>16031</v>
      </c>
      <c r="F5" s="36">
        <v>16267</v>
      </c>
      <c r="G5" s="36">
        <f t="shared" ref="G5:G11" si="0">B5+D5-F5</f>
        <v>56548</v>
      </c>
      <c r="H5" s="30"/>
      <c r="I5" s="49"/>
      <c r="J5" s="49"/>
    </row>
    <row r="6" spans="1:10" ht="35.25" customHeight="1">
      <c r="A6" s="35" t="s">
        <v>1750</v>
      </c>
      <c r="B6" s="36">
        <v>13096</v>
      </c>
      <c r="C6" s="36">
        <v>71270</v>
      </c>
      <c r="D6" s="36">
        <v>78483</v>
      </c>
      <c r="E6" s="36">
        <v>81730</v>
      </c>
      <c r="F6" s="36">
        <v>81442</v>
      </c>
      <c r="G6" s="36">
        <f t="shared" si="0"/>
        <v>10137</v>
      </c>
    </row>
    <row r="7" spans="1:10" ht="35.25" customHeight="1">
      <c r="A7" s="35" t="s">
        <v>1751</v>
      </c>
      <c r="B7" s="36">
        <v>31347</v>
      </c>
      <c r="C7" s="36">
        <v>86667</v>
      </c>
      <c r="D7" s="36">
        <v>90784</v>
      </c>
      <c r="E7" s="36">
        <v>78231</v>
      </c>
      <c r="F7" s="36">
        <v>74183</v>
      </c>
      <c r="G7" s="36">
        <f t="shared" si="0"/>
        <v>47948</v>
      </c>
    </row>
    <row r="8" spans="1:10" ht="35.25" customHeight="1">
      <c r="A8" s="35" t="s">
        <v>1752</v>
      </c>
      <c r="B8" s="36">
        <v>17691</v>
      </c>
      <c r="C8" s="36">
        <v>45725</v>
      </c>
      <c r="D8" s="36">
        <v>47596</v>
      </c>
      <c r="E8" s="36">
        <v>54614</v>
      </c>
      <c r="F8" s="36">
        <v>51717</v>
      </c>
      <c r="G8" s="36">
        <f t="shared" si="0"/>
        <v>13570</v>
      </c>
    </row>
    <row r="9" spans="1:10" ht="35.25" customHeight="1">
      <c r="A9" s="35" t="s">
        <v>1753</v>
      </c>
      <c r="B9" s="36">
        <v>701</v>
      </c>
      <c r="C9" s="36">
        <v>1144</v>
      </c>
      <c r="D9" s="36">
        <v>3485</v>
      </c>
      <c r="E9" s="36">
        <v>2939</v>
      </c>
      <c r="F9" s="36">
        <v>3456</v>
      </c>
      <c r="G9" s="36">
        <f t="shared" si="0"/>
        <v>730</v>
      </c>
    </row>
    <row r="10" spans="1:10" ht="35.25" customHeight="1">
      <c r="A10" s="35" t="s">
        <v>1754</v>
      </c>
      <c r="B10" s="36">
        <v>13847</v>
      </c>
      <c r="C10" s="36">
        <v>1705</v>
      </c>
      <c r="D10" s="36">
        <v>23866</v>
      </c>
      <c r="E10" s="36">
        <v>5752</v>
      </c>
      <c r="F10" s="36">
        <v>21628</v>
      </c>
      <c r="G10" s="36">
        <f t="shared" si="0"/>
        <v>16085</v>
      </c>
    </row>
    <row r="11" spans="1:10" ht="38.25" customHeight="1">
      <c r="A11" s="38" t="s">
        <v>83</v>
      </c>
      <c r="B11" s="46">
        <f t="shared" ref="B11:F11" si="1">SUM(B5:B10)</f>
        <v>126324</v>
      </c>
      <c r="C11" s="47">
        <f t="shared" si="1"/>
        <v>230691</v>
      </c>
      <c r="D11" s="47">
        <f t="shared" si="1"/>
        <v>267387</v>
      </c>
      <c r="E11" s="47">
        <f t="shared" si="1"/>
        <v>239297</v>
      </c>
      <c r="F11" s="47">
        <f t="shared" si="1"/>
        <v>248693</v>
      </c>
      <c r="G11" s="47">
        <f t="shared" si="0"/>
        <v>145018</v>
      </c>
    </row>
    <row r="12" spans="1:10" s="30" customFormat="1" ht="14.25"/>
    <row r="13" spans="1:10">
      <c r="G13" s="48"/>
    </row>
    <row r="14" spans="1:10" s="30" customFormat="1" ht="14.25"/>
    <row r="15" spans="1:10" s="30" customFormat="1" ht="14.25"/>
    <row r="16" spans="1:10"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row r="32" s="30" customFormat="1" ht="28.5" customHeight="1"/>
    <row r="33" s="30" customFormat="1" ht="28.5" customHeight="1"/>
  </sheetData>
  <mergeCells count="6">
    <mergeCell ref="A1:G1"/>
    <mergeCell ref="C3:D3"/>
    <mergeCell ref="E3:F3"/>
    <mergeCell ref="A3:A4"/>
    <mergeCell ref="B3:B4"/>
    <mergeCell ref="G3:G4"/>
  </mergeCells>
  <phoneticPr fontId="54" type="noConversion"/>
  <printOptions horizontalCentered="1"/>
  <pageMargins left="0.98402777777777795" right="0.78680555555555598" top="0.78680555555555598" bottom="0.78680555555555598" header="0.51180555555555596" footer="0.51180555555555596"/>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33"/>
  <sheetViews>
    <sheetView workbookViewId="0">
      <selection activeCell="A11" sqref="A11"/>
    </sheetView>
  </sheetViews>
  <sheetFormatPr defaultColWidth="9" defaultRowHeight="13.5"/>
  <cols>
    <col min="1" max="1" width="37" style="31" customWidth="1"/>
    <col min="2" max="2" width="15" style="31" customWidth="1"/>
    <col min="3" max="6" width="12.875" style="31" customWidth="1"/>
    <col min="7" max="7" width="13.375" style="31" customWidth="1"/>
    <col min="8" max="16384" width="9" style="31"/>
  </cols>
  <sheetData>
    <row r="1" spans="1:10" s="29" customFormat="1" ht="24">
      <c r="A1" s="372" t="s">
        <v>1755</v>
      </c>
      <c r="B1" s="372"/>
      <c r="C1" s="372"/>
      <c r="D1" s="372"/>
      <c r="E1" s="372"/>
      <c r="F1" s="372"/>
      <c r="G1" s="372"/>
    </row>
    <row r="2" spans="1:10" ht="23.25" customHeight="1">
      <c r="A2" s="4" t="s">
        <v>1756</v>
      </c>
      <c r="C2" s="30"/>
      <c r="D2" s="30"/>
      <c r="E2" s="30"/>
      <c r="F2" s="33"/>
      <c r="G2" s="33" t="s">
        <v>86</v>
      </c>
    </row>
    <row r="3" spans="1:10" ht="35.25" customHeight="1">
      <c r="A3" s="373" t="s">
        <v>54</v>
      </c>
      <c r="B3" s="373" t="s">
        <v>1464</v>
      </c>
      <c r="C3" s="373" t="s">
        <v>1745</v>
      </c>
      <c r="D3" s="373"/>
      <c r="E3" s="373" t="s">
        <v>1746</v>
      </c>
      <c r="F3" s="373"/>
      <c r="G3" s="373" t="s">
        <v>1747</v>
      </c>
    </row>
    <row r="4" spans="1:10" ht="35.25" customHeight="1">
      <c r="A4" s="373"/>
      <c r="B4" s="373"/>
      <c r="C4" s="8" t="s">
        <v>223</v>
      </c>
      <c r="D4" s="8" t="s">
        <v>1748</v>
      </c>
      <c r="E4" s="8" t="s">
        <v>223</v>
      </c>
      <c r="F4" s="8" t="s">
        <v>1748</v>
      </c>
      <c r="G4" s="373"/>
    </row>
    <row r="5" spans="1:10" ht="35.25" customHeight="1">
      <c r="A5" s="35" t="s">
        <v>1749</v>
      </c>
      <c r="B5" s="36">
        <v>49642</v>
      </c>
      <c r="C5" s="36">
        <v>24180</v>
      </c>
      <c r="D5" s="36">
        <v>23173</v>
      </c>
      <c r="E5" s="36">
        <v>16031</v>
      </c>
      <c r="F5" s="36">
        <v>16267</v>
      </c>
      <c r="G5" s="36">
        <f t="shared" ref="G5:G11" si="0">B5+D5-F5</f>
        <v>56548</v>
      </c>
      <c r="H5" s="30"/>
      <c r="I5" s="49"/>
      <c r="J5" s="49"/>
    </row>
    <row r="6" spans="1:10" s="44" customFormat="1" ht="35.25" customHeight="1">
      <c r="A6" s="45" t="s">
        <v>1750</v>
      </c>
      <c r="B6" s="36">
        <v>7559</v>
      </c>
      <c r="C6" s="36">
        <v>15527</v>
      </c>
      <c r="D6" s="36">
        <v>19092</v>
      </c>
      <c r="E6" s="36">
        <v>21436</v>
      </c>
      <c r="F6" s="36">
        <v>21797</v>
      </c>
      <c r="G6" s="36">
        <f t="shared" si="0"/>
        <v>4854</v>
      </c>
    </row>
    <row r="7" spans="1:10" ht="35.25" customHeight="1">
      <c r="A7" s="35" t="s">
        <v>1751</v>
      </c>
      <c r="B7" s="36">
        <v>31347</v>
      </c>
      <c r="C7" s="36">
        <v>86667</v>
      </c>
      <c r="D7" s="36">
        <v>90784</v>
      </c>
      <c r="E7" s="36">
        <v>78231</v>
      </c>
      <c r="F7" s="36">
        <v>74183</v>
      </c>
      <c r="G7" s="36">
        <f t="shared" si="0"/>
        <v>47948</v>
      </c>
    </row>
    <row r="8" spans="1:10" ht="35.25" customHeight="1">
      <c r="A8" s="35" t="s">
        <v>1752</v>
      </c>
      <c r="B8" s="36">
        <v>17691</v>
      </c>
      <c r="C8" s="36">
        <v>45725</v>
      </c>
      <c r="D8" s="36">
        <v>47596</v>
      </c>
      <c r="E8" s="36">
        <v>54614</v>
      </c>
      <c r="F8" s="36">
        <v>51717</v>
      </c>
      <c r="G8" s="36">
        <f t="shared" si="0"/>
        <v>13570</v>
      </c>
    </row>
    <row r="9" spans="1:10" ht="35.25" customHeight="1">
      <c r="A9" s="35" t="s">
        <v>1753</v>
      </c>
      <c r="B9" s="36">
        <v>701</v>
      </c>
      <c r="C9" s="36">
        <v>1144</v>
      </c>
      <c r="D9" s="36">
        <v>3485</v>
      </c>
      <c r="E9" s="36">
        <v>2939</v>
      </c>
      <c r="F9" s="36">
        <v>3456</v>
      </c>
      <c r="G9" s="36">
        <f t="shared" si="0"/>
        <v>730</v>
      </c>
    </row>
    <row r="10" spans="1:10" ht="35.25" customHeight="1">
      <c r="A10" s="35" t="s">
        <v>1754</v>
      </c>
      <c r="B10" s="36">
        <v>13847</v>
      </c>
      <c r="C10" s="36">
        <v>1705</v>
      </c>
      <c r="D10" s="36">
        <v>23866</v>
      </c>
      <c r="E10" s="36">
        <v>5752</v>
      </c>
      <c r="F10" s="36">
        <v>21628</v>
      </c>
      <c r="G10" s="36">
        <f t="shared" si="0"/>
        <v>16085</v>
      </c>
    </row>
    <row r="11" spans="1:10" ht="38.25" customHeight="1">
      <c r="A11" s="38" t="s">
        <v>83</v>
      </c>
      <c r="B11" s="46">
        <f t="shared" ref="B11:F11" si="1">SUM(B5:B10)</f>
        <v>120787</v>
      </c>
      <c r="C11" s="47">
        <f t="shared" si="1"/>
        <v>174948</v>
      </c>
      <c r="D11" s="47">
        <f t="shared" si="1"/>
        <v>207996</v>
      </c>
      <c r="E11" s="47">
        <f t="shared" si="1"/>
        <v>179003</v>
      </c>
      <c r="F11" s="47">
        <f t="shared" si="1"/>
        <v>189048</v>
      </c>
      <c r="G11" s="47">
        <f t="shared" si="0"/>
        <v>139735</v>
      </c>
    </row>
    <row r="12" spans="1:10" s="30" customFormat="1" ht="14.25"/>
    <row r="13" spans="1:10">
      <c r="G13" s="48"/>
    </row>
    <row r="14" spans="1:10" s="30" customFormat="1" ht="14.25"/>
    <row r="15" spans="1:10" s="30" customFormat="1" ht="14.25"/>
    <row r="16" spans="1:10"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row r="32" s="30" customFormat="1" ht="28.5" customHeight="1"/>
    <row r="33" s="30" customFormat="1" ht="28.5" customHeight="1"/>
  </sheetData>
  <mergeCells count="6">
    <mergeCell ref="A1:G1"/>
    <mergeCell ref="C3:D3"/>
    <mergeCell ref="E3:F3"/>
    <mergeCell ref="A3:A4"/>
    <mergeCell ref="B3:B4"/>
    <mergeCell ref="G3:G4"/>
  </mergeCells>
  <phoneticPr fontId="54" type="noConversion"/>
  <printOptions horizontalCentered="1"/>
  <pageMargins left="0.98402777777777795" right="0.78680555555555598" top="0.78680555555555598" bottom="0.78680555555555598" header="0.51180555555555596" footer="0.51180555555555596"/>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34"/>
  <sheetViews>
    <sheetView workbookViewId="0">
      <selection activeCell="C5" sqref="C5"/>
    </sheetView>
  </sheetViews>
  <sheetFormatPr defaultColWidth="9" defaultRowHeight="13.5"/>
  <cols>
    <col min="1" max="1" width="43" style="31" customWidth="1"/>
    <col min="2" max="2" width="17.25" style="31" customWidth="1"/>
    <col min="3" max="3" width="14.5" style="31" customWidth="1"/>
    <col min="4" max="16384" width="9" style="31"/>
  </cols>
  <sheetData>
    <row r="1" spans="1:5" s="29" customFormat="1" ht="38.25" customHeight="1">
      <c r="A1" s="372" t="s">
        <v>1757</v>
      </c>
      <c r="B1" s="372"/>
      <c r="C1" s="372"/>
    </row>
    <row r="2" spans="1:5" ht="26.25" customHeight="1">
      <c r="A2" s="4" t="s">
        <v>1758</v>
      </c>
      <c r="B2" s="32"/>
      <c r="C2" s="33" t="s">
        <v>86</v>
      </c>
      <c r="D2" s="30"/>
      <c r="E2" s="34"/>
    </row>
    <row r="3" spans="1:5" s="41" customFormat="1" ht="50.25" customHeight="1">
      <c r="A3" s="8" t="s">
        <v>54</v>
      </c>
      <c r="B3" s="8" t="s">
        <v>223</v>
      </c>
      <c r="C3" s="8" t="s">
        <v>88</v>
      </c>
    </row>
    <row r="4" spans="1:5" s="41" customFormat="1" ht="50.25" customHeight="1">
      <c r="A4" s="35" t="s">
        <v>1749</v>
      </c>
      <c r="B4" s="36">
        <v>25293</v>
      </c>
      <c r="C4" s="42"/>
    </row>
    <row r="5" spans="1:5" s="41" customFormat="1" ht="50.25" customHeight="1">
      <c r="A5" s="35" t="s">
        <v>1750</v>
      </c>
      <c r="B5" s="36">
        <v>87432</v>
      </c>
      <c r="C5" s="42"/>
    </row>
    <row r="6" spans="1:5" s="41" customFormat="1" ht="50.25" customHeight="1">
      <c r="A6" s="35" t="s">
        <v>1759</v>
      </c>
      <c r="B6" s="36">
        <v>84029</v>
      </c>
      <c r="C6" s="35"/>
    </row>
    <row r="7" spans="1:5" s="41" customFormat="1" ht="50.25" customHeight="1">
      <c r="A7" s="35" t="s">
        <v>1752</v>
      </c>
      <c r="B7" s="36">
        <v>47922</v>
      </c>
      <c r="C7" s="42"/>
    </row>
    <row r="8" spans="1:5" s="41" customFormat="1" ht="50.25" customHeight="1">
      <c r="A8" s="35" t="s">
        <v>1753</v>
      </c>
      <c r="B8" s="36">
        <v>4109</v>
      </c>
      <c r="C8" s="42"/>
    </row>
    <row r="9" spans="1:5" s="41" customFormat="1" ht="50.25" customHeight="1">
      <c r="A9" s="35" t="s">
        <v>1754</v>
      </c>
      <c r="B9" s="36">
        <v>3763</v>
      </c>
      <c r="C9" s="42"/>
    </row>
    <row r="10" spans="1:5" s="41" customFormat="1" ht="50.25" customHeight="1">
      <c r="A10" s="38" t="s">
        <v>83</v>
      </c>
      <c r="B10" s="43">
        <f>SUM(B4:B9)</f>
        <v>252548</v>
      </c>
      <c r="C10" s="42"/>
    </row>
    <row r="11" spans="1:5" s="41" customFormat="1" ht="50.25" hidden="1" customHeight="1">
      <c r="A11" s="35" t="s">
        <v>1760</v>
      </c>
      <c r="B11" s="36"/>
      <c r="C11" s="42"/>
    </row>
    <row r="12" spans="1:5" s="41" customFormat="1" ht="50.25" hidden="1" customHeight="1">
      <c r="A12" s="8" t="s">
        <v>172</v>
      </c>
      <c r="B12" s="43">
        <f>SUM(B10:B11)</f>
        <v>252548</v>
      </c>
      <c r="C12" s="40"/>
    </row>
    <row r="13" spans="1:5" s="30" customFormat="1" ht="14.25"/>
    <row r="14" spans="1:5" s="30" customFormat="1" ht="14.25"/>
    <row r="15" spans="1:5" s="30" customFormat="1" ht="14.25"/>
    <row r="16" spans="1:5"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row r="32" s="30" customFormat="1" ht="14.25"/>
    <row r="33" s="30" customFormat="1" ht="28.5" customHeight="1"/>
    <row r="34" s="30" customFormat="1" ht="28.5" customHeight="1"/>
  </sheetData>
  <mergeCells count="1">
    <mergeCell ref="A1:C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32"/>
  <sheetViews>
    <sheetView workbookViewId="0">
      <selection activeCell="A10" sqref="A10:A12"/>
    </sheetView>
  </sheetViews>
  <sheetFormatPr defaultColWidth="9" defaultRowHeight="13.5"/>
  <cols>
    <col min="1" max="1" width="41.625" style="31" customWidth="1"/>
    <col min="2" max="2" width="14.625" style="31" customWidth="1"/>
    <col min="3" max="3" width="18.625" style="31" customWidth="1"/>
    <col min="4" max="16384" width="9" style="31"/>
  </cols>
  <sheetData>
    <row r="1" spans="1:5" s="29" customFormat="1" ht="40.5" customHeight="1">
      <c r="A1" s="372" t="s">
        <v>1761</v>
      </c>
      <c r="B1" s="372"/>
      <c r="C1" s="372"/>
    </row>
    <row r="2" spans="1:5" ht="27" customHeight="1">
      <c r="A2" s="4" t="s">
        <v>1762</v>
      </c>
      <c r="B2" s="32"/>
      <c r="C2" s="33" t="s">
        <v>86</v>
      </c>
      <c r="D2" s="30"/>
      <c r="E2" s="34"/>
    </row>
    <row r="3" spans="1:5" ht="43.5" customHeight="1">
      <c r="A3" s="8" t="s">
        <v>54</v>
      </c>
      <c r="B3" s="8" t="s">
        <v>223</v>
      </c>
      <c r="C3" s="8" t="s">
        <v>88</v>
      </c>
    </row>
    <row r="4" spans="1:5" ht="43.5" customHeight="1">
      <c r="A4" s="35" t="s">
        <v>1749</v>
      </c>
      <c r="B4" s="36">
        <v>17287</v>
      </c>
      <c r="C4" s="37"/>
    </row>
    <row r="5" spans="1:5" ht="43.5" customHeight="1">
      <c r="A5" s="35" t="s">
        <v>1750</v>
      </c>
      <c r="B5" s="36">
        <v>87207</v>
      </c>
      <c r="C5" s="37"/>
    </row>
    <row r="6" spans="1:5" ht="43.5" customHeight="1">
      <c r="A6" s="35" t="s">
        <v>1759</v>
      </c>
      <c r="B6" s="36">
        <v>72854</v>
      </c>
      <c r="C6" s="35"/>
    </row>
    <row r="7" spans="1:5" ht="43.5" customHeight="1">
      <c r="A7" s="35" t="s">
        <v>1752</v>
      </c>
      <c r="B7" s="36">
        <v>39788</v>
      </c>
      <c r="C7" s="37"/>
    </row>
    <row r="8" spans="1:5" ht="43.5" customHeight="1">
      <c r="A8" s="35" t="s">
        <v>1753</v>
      </c>
      <c r="B8" s="36">
        <v>4026</v>
      </c>
      <c r="C8" s="37"/>
    </row>
    <row r="9" spans="1:5" ht="43.5" customHeight="1">
      <c r="A9" s="35" t="s">
        <v>1754</v>
      </c>
      <c r="B9" s="36">
        <v>4680</v>
      </c>
      <c r="C9" s="37"/>
    </row>
    <row r="10" spans="1:5" ht="43.5" customHeight="1">
      <c r="A10" s="38" t="s">
        <v>113</v>
      </c>
      <c r="B10" s="39">
        <f>SUM(B4:B9)</f>
        <v>225842</v>
      </c>
      <c r="C10" s="37"/>
    </row>
    <row r="11" spans="1:5" ht="43.5" customHeight="1">
      <c r="A11" s="38" t="s">
        <v>1763</v>
      </c>
      <c r="B11" s="39">
        <v>26706</v>
      </c>
      <c r="C11" s="37"/>
    </row>
    <row r="12" spans="1:5" ht="43.5" customHeight="1">
      <c r="A12" s="38" t="s">
        <v>201</v>
      </c>
      <c r="B12" s="39">
        <f>B10+B11</f>
        <v>252548</v>
      </c>
      <c r="C12" s="40"/>
    </row>
    <row r="13" spans="1:5" s="30" customFormat="1" ht="14.25"/>
    <row r="14" spans="1:5" s="30" customFormat="1" ht="14.25"/>
    <row r="15" spans="1:5" s="30" customFormat="1" ht="14.25"/>
    <row r="16" spans="1:5"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28.5" customHeight="1"/>
    <row r="32" s="30" customFormat="1" ht="28.5" customHeight="1"/>
  </sheetData>
  <mergeCells count="1">
    <mergeCell ref="A1:C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34"/>
  <sheetViews>
    <sheetView workbookViewId="0">
      <selection activeCell="A10" sqref="A10"/>
    </sheetView>
  </sheetViews>
  <sheetFormatPr defaultColWidth="9" defaultRowHeight="13.5"/>
  <cols>
    <col min="1" max="1" width="40.75" style="31" customWidth="1"/>
    <col min="2" max="2" width="14.125" style="31" customWidth="1"/>
    <col min="3" max="3" width="18.75" style="31" customWidth="1"/>
    <col min="4" max="16384" width="9" style="31"/>
  </cols>
  <sheetData>
    <row r="1" spans="1:5" s="29" customFormat="1" ht="38.25" customHeight="1">
      <c r="A1" s="372" t="s">
        <v>1764</v>
      </c>
      <c r="B1" s="372"/>
      <c r="C1" s="372"/>
    </row>
    <row r="2" spans="1:5" ht="26.25" customHeight="1">
      <c r="A2" s="4" t="s">
        <v>1765</v>
      </c>
      <c r="B2" s="32"/>
      <c r="C2" s="33" t="s">
        <v>86</v>
      </c>
      <c r="D2" s="30"/>
      <c r="E2" s="34"/>
    </row>
    <row r="3" spans="1:5" s="41" customFormat="1" ht="50.25" customHeight="1">
      <c r="A3" s="8" t="s">
        <v>54</v>
      </c>
      <c r="B3" s="8" t="s">
        <v>223</v>
      </c>
      <c r="C3" s="8" t="s">
        <v>88</v>
      </c>
    </row>
    <row r="4" spans="1:5" s="41" customFormat="1" ht="50.25" customHeight="1">
      <c r="A4" s="35" t="s">
        <v>1749</v>
      </c>
      <c r="B4" s="36">
        <v>25293</v>
      </c>
      <c r="C4" s="42"/>
    </row>
    <row r="5" spans="1:5" s="41" customFormat="1" ht="50.25" customHeight="1">
      <c r="A5" s="35" t="s">
        <v>1750</v>
      </c>
      <c r="B5" s="36">
        <v>23766</v>
      </c>
      <c r="C5" s="42"/>
    </row>
    <row r="6" spans="1:5" s="41" customFormat="1" ht="50.25" customHeight="1">
      <c r="A6" s="35" t="s">
        <v>1759</v>
      </c>
      <c r="B6" s="36">
        <v>84029</v>
      </c>
      <c r="C6" s="35"/>
    </row>
    <row r="7" spans="1:5" s="41" customFormat="1" ht="50.25" customHeight="1">
      <c r="A7" s="35" t="s">
        <v>1752</v>
      </c>
      <c r="B7" s="36">
        <v>47922</v>
      </c>
      <c r="C7" s="42"/>
    </row>
    <row r="8" spans="1:5" s="41" customFormat="1" ht="50.25" customHeight="1">
      <c r="A8" s="35" t="s">
        <v>1753</v>
      </c>
      <c r="B8" s="36">
        <v>4109</v>
      </c>
      <c r="C8" s="42"/>
    </row>
    <row r="9" spans="1:5" s="41" customFormat="1" ht="50.25" customHeight="1">
      <c r="A9" s="35" t="s">
        <v>1754</v>
      </c>
      <c r="B9" s="36">
        <v>3763</v>
      </c>
      <c r="C9" s="42"/>
    </row>
    <row r="10" spans="1:5" s="41" customFormat="1" ht="50.25" customHeight="1">
      <c r="A10" s="38" t="s">
        <v>83</v>
      </c>
      <c r="B10" s="43">
        <f>SUM(B4:B9)</f>
        <v>188882</v>
      </c>
      <c r="C10" s="42"/>
    </row>
    <row r="11" spans="1:5" s="41" customFormat="1" ht="50.25" hidden="1" customHeight="1">
      <c r="A11" s="35" t="s">
        <v>1760</v>
      </c>
      <c r="B11" s="36"/>
      <c r="C11" s="42"/>
    </row>
    <row r="12" spans="1:5" s="41" customFormat="1" ht="50.25" hidden="1" customHeight="1">
      <c r="A12" s="8" t="s">
        <v>172</v>
      </c>
      <c r="B12" s="43">
        <f>SUM(B10:B11)</f>
        <v>188882</v>
      </c>
      <c r="C12" s="40"/>
    </row>
    <row r="13" spans="1:5" s="30" customFormat="1" ht="14.25"/>
    <row r="14" spans="1:5" s="30" customFormat="1" ht="14.25"/>
    <row r="15" spans="1:5" s="30" customFormat="1" ht="14.25"/>
    <row r="16" spans="1:5"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row r="32" s="30" customFormat="1" ht="14.25"/>
    <row r="33" s="30" customFormat="1" ht="28.5" customHeight="1"/>
    <row r="34" s="30" customFormat="1" ht="28.5" customHeight="1"/>
  </sheetData>
  <mergeCells count="1">
    <mergeCell ref="A1:C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32"/>
  <sheetViews>
    <sheetView topLeftCell="A7" workbookViewId="0">
      <selection activeCell="G11" sqref="G11"/>
    </sheetView>
  </sheetViews>
  <sheetFormatPr defaultColWidth="9" defaultRowHeight="13.5"/>
  <cols>
    <col min="1" max="1" width="41.625" style="31" customWidth="1"/>
    <col min="2" max="2" width="14.625" style="31" customWidth="1"/>
    <col min="3" max="3" width="18.625" style="31" customWidth="1"/>
    <col min="4" max="16384" width="9" style="31"/>
  </cols>
  <sheetData>
    <row r="1" spans="1:5" s="29" customFormat="1" ht="40.5" customHeight="1">
      <c r="A1" s="372" t="s">
        <v>1766</v>
      </c>
      <c r="B1" s="372"/>
      <c r="C1" s="372"/>
    </row>
    <row r="2" spans="1:5" ht="27" customHeight="1">
      <c r="A2" s="4" t="s">
        <v>1767</v>
      </c>
      <c r="B2" s="32"/>
      <c r="C2" s="33" t="s">
        <v>86</v>
      </c>
      <c r="D2" s="30"/>
      <c r="E2" s="34"/>
    </row>
    <row r="3" spans="1:5" ht="43.5" customHeight="1">
      <c r="A3" s="8" t="s">
        <v>54</v>
      </c>
      <c r="B3" s="8" t="s">
        <v>223</v>
      </c>
      <c r="C3" s="8" t="s">
        <v>88</v>
      </c>
    </row>
    <row r="4" spans="1:5" ht="43.5" customHeight="1">
      <c r="A4" s="35" t="s">
        <v>1749</v>
      </c>
      <c r="B4" s="36">
        <v>17287</v>
      </c>
      <c r="C4" s="37"/>
    </row>
    <row r="5" spans="1:5" ht="43.5" customHeight="1">
      <c r="A5" s="35" t="s">
        <v>1750</v>
      </c>
      <c r="B5" s="36">
        <v>23765</v>
      </c>
      <c r="C5" s="37"/>
    </row>
    <row r="6" spans="1:5" ht="43.5" customHeight="1">
      <c r="A6" s="35" t="s">
        <v>1759</v>
      </c>
      <c r="B6" s="36">
        <v>72854</v>
      </c>
      <c r="C6" s="35"/>
    </row>
    <row r="7" spans="1:5" ht="43.5" customHeight="1">
      <c r="A7" s="35" t="s">
        <v>1752</v>
      </c>
      <c r="B7" s="36">
        <v>39788</v>
      </c>
      <c r="C7" s="37"/>
    </row>
    <row r="8" spans="1:5" ht="43.5" customHeight="1">
      <c r="A8" s="35" t="s">
        <v>1753</v>
      </c>
      <c r="B8" s="36">
        <v>4026</v>
      </c>
      <c r="C8" s="37"/>
    </row>
    <row r="9" spans="1:5" ht="43.5" customHeight="1">
      <c r="A9" s="35" t="s">
        <v>1754</v>
      </c>
      <c r="B9" s="36">
        <v>4680</v>
      </c>
      <c r="C9" s="37"/>
    </row>
    <row r="10" spans="1:5" ht="43.5" customHeight="1">
      <c r="A10" s="38" t="s">
        <v>113</v>
      </c>
      <c r="B10" s="39">
        <f>SUM(B4:B9)</f>
        <v>162400</v>
      </c>
      <c r="C10" s="37"/>
    </row>
    <row r="11" spans="1:5" ht="43.5" customHeight="1">
      <c r="A11" s="38" t="s">
        <v>1763</v>
      </c>
      <c r="B11" s="39">
        <v>26482</v>
      </c>
      <c r="C11" s="37"/>
    </row>
    <row r="12" spans="1:5" ht="43.5" customHeight="1">
      <c r="A12" s="38" t="s">
        <v>1796</v>
      </c>
      <c r="B12" s="39">
        <f>B10+B11</f>
        <v>188882</v>
      </c>
      <c r="C12" s="40"/>
    </row>
    <row r="13" spans="1:5" s="30" customFormat="1" ht="14.25"/>
    <row r="14" spans="1:5" s="30" customFormat="1" ht="14.25"/>
    <row r="15" spans="1:5" s="30" customFormat="1" ht="14.25"/>
    <row r="16" spans="1:5"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28.5" customHeight="1"/>
    <row r="32" s="30" customFormat="1" ht="28.5" customHeight="1"/>
  </sheetData>
  <mergeCells count="1">
    <mergeCell ref="A1:C1"/>
  </mergeCells>
  <phoneticPr fontId="54" type="noConversion"/>
  <printOptions horizontalCentered="1"/>
  <pageMargins left="0.78680555555555598" right="0.78680555555555598" top="0.98402777777777795" bottom="0.98402777777777795" header="0.51180555555555596" footer="0.51180555555555596"/>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V33"/>
  <sheetViews>
    <sheetView workbookViewId="0">
      <selection activeCell="F7" sqref="F7"/>
    </sheetView>
  </sheetViews>
  <sheetFormatPr defaultColWidth="9" defaultRowHeight="13.5"/>
  <cols>
    <col min="1" max="1" width="17.875" style="21" customWidth="1"/>
    <col min="2" max="3" width="15.375" style="21" customWidth="1"/>
    <col min="4" max="4" width="16.75" style="21" customWidth="1"/>
    <col min="5" max="5" width="15.625" style="21" customWidth="1"/>
    <col min="6" max="6" width="16" style="21" customWidth="1"/>
    <col min="7" max="7" width="17.875" style="22" customWidth="1"/>
    <col min="8" max="16384" width="9" style="21"/>
  </cols>
  <sheetData>
    <row r="1" spans="1:256" s="20" customFormat="1" ht="28.5" customHeight="1">
      <c r="A1" s="372" t="s">
        <v>1768</v>
      </c>
      <c r="B1" s="372"/>
      <c r="C1" s="372"/>
      <c r="D1" s="372"/>
      <c r="E1" s="372"/>
      <c r="F1" s="372"/>
      <c r="G1" s="372"/>
    </row>
    <row r="2" spans="1:256" customFormat="1" ht="20.25" customHeight="1">
      <c r="A2" s="4" t="s">
        <v>1769</v>
      </c>
      <c r="B2" s="23"/>
      <c r="C2" s="3"/>
      <c r="D2" s="24"/>
      <c r="E2" s="24"/>
      <c r="F2" s="24"/>
      <c r="G2" s="7" t="s">
        <v>86</v>
      </c>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row>
    <row r="3" spans="1:256" customFormat="1" ht="34.5" customHeight="1">
      <c r="A3" s="373" t="s">
        <v>1770</v>
      </c>
      <c r="B3" s="373" t="s">
        <v>1771</v>
      </c>
      <c r="C3" s="373" t="s">
        <v>1772</v>
      </c>
      <c r="D3" s="373" t="s">
        <v>1773</v>
      </c>
      <c r="E3" s="373"/>
      <c r="F3" s="373"/>
      <c r="G3" s="373" t="s">
        <v>1774</v>
      </c>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customFormat="1" ht="36.75" customHeight="1">
      <c r="A4" s="373"/>
      <c r="B4" s="373"/>
      <c r="C4" s="373"/>
      <c r="D4" s="8" t="s">
        <v>1213</v>
      </c>
      <c r="E4" s="8" t="s">
        <v>1775</v>
      </c>
      <c r="F4" s="8" t="s">
        <v>1776</v>
      </c>
      <c r="G4" s="373"/>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row>
    <row r="5" spans="1:256" customFormat="1" ht="41.25" customHeight="1">
      <c r="A5" s="18" t="s">
        <v>1777</v>
      </c>
      <c r="B5" s="25">
        <f t="shared" ref="B5" si="0">SUM(B6:B11)</f>
        <v>1434739</v>
      </c>
      <c r="C5" s="25">
        <f t="shared" ref="C5:C11" si="1">G5+D5</f>
        <v>1350561</v>
      </c>
      <c r="D5" s="25">
        <f t="shared" ref="D5:D11" si="2">E5+F5</f>
        <v>1347092</v>
      </c>
      <c r="E5" s="25">
        <f t="shared" ref="E5:G5" si="3">SUM(E6:E11)</f>
        <v>914192</v>
      </c>
      <c r="F5" s="25">
        <f t="shared" si="3"/>
        <v>432900</v>
      </c>
      <c r="G5" s="25">
        <f t="shared" si="3"/>
        <v>3469</v>
      </c>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row>
    <row r="6" spans="1:256" customFormat="1" ht="41.25" customHeight="1">
      <c r="A6" s="18" t="s">
        <v>1286</v>
      </c>
      <c r="B6" s="26">
        <f>'-41'!B5+'-42'!B5</f>
        <v>801943</v>
      </c>
      <c r="C6" s="26">
        <f t="shared" si="1"/>
        <v>739510</v>
      </c>
      <c r="D6" s="26">
        <f t="shared" si="2"/>
        <v>736063</v>
      </c>
      <c r="E6" s="27">
        <v>522251</v>
      </c>
      <c r="F6" s="27">
        <v>213812</v>
      </c>
      <c r="G6" s="28">
        <v>3447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row>
    <row r="7" spans="1:256" customFormat="1" ht="41.25" customHeight="1">
      <c r="A7" s="18" t="s">
        <v>1778</v>
      </c>
      <c r="B7" s="26">
        <f>'-41'!B6+'-42'!B6</f>
        <v>193825</v>
      </c>
      <c r="C7" s="26">
        <f t="shared" si="1"/>
        <v>201445</v>
      </c>
      <c r="D7" s="26">
        <f t="shared" si="2"/>
        <v>201445</v>
      </c>
      <c r="E7" s="27">
        <v>132245</v>
      </c>
      <c r="F7" s="27">
        <v>69200</v>
      </c>
      <c r="G7" s="28"/>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row>
    <row r="8" spans="1:256" customFormat="1" ht="41.25" customHeight="1">
      <c r="A8" s="18" t="s">
        <v>1461</v>
      </c>
      <c r="B8" s="26">
        <f>'-41'!B7+'-42'!B7</f>
        <v>198183</v>
      </c>
      <c r="C8" s="26">
        <f t="shared" si="1"/>
        <v>181404</v>
      </c>
      <c r="D8" s="26">
        <f t="shared" si="2"/>
        <v>181404</v>
      </c>
      <c r="E8" s="27">
        <v>153904</v>
      </c>
      <c r="F8" s="27">
        <v>27500</v>
      </c>
      <c r="G8" s="28"/>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row>
    <row r="9" spans="1:256" customFormat="1" ht="41.25" customHeight="1">
      <c r="A9" s="18" t="s">
        <v>1779</v>
      </c>
      <c r="B9" s="26">
        <f>'-41'!B8+'-42'!B8</f>
        <v>95887</v>
      </c>
      <c r="C9" s="26">
        <f t="shared" si="1"/>
        <v>92721</v>
      </c>
      <c r="D9" s="26">
        <f t="shared" si="2"/>
        <v>92721</v>
      </c>
      <c r="E9" s="27">
        <v>24021</v>
      </c>
      <c r="F9" s="27">
        <v>68700</v>
      </c>
      <c r="G9" s="28"/>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row>
    <row r="10" spans="1:256" customFormat="1" ht="41.25" customHeight="1">
      <c r="A10" s="18" t="s">
        <v>1780</v>
      </c>
      <c r="B10" s="26">
        <f>'-41'!B9+'-42'!B9</f>
        <v>71448</v>
      </c>
      <c r="C10" s="26">
        <f t="shared" si="1"/>
        <v>63267</v>
      </c>
      <c r="D10" s="26">
        <f t="shared" si="2"/>
        <v>63245</v>
      </c>
      <c r="E10" s="27">
        <v>46157</v>
      </c>
      <c r="F10" s="27">
        <v>17088</v>
      </c>
      <c r="G10" s="28">
        <v>22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row>
    <row r="11" spans="1:256" customFormat="1" ht="41.25" customHeight="1">
      <c r="A11" s="14" t="s">
        <v>1781</v>
      </c>
      <c r="B11" s="26">
        <f>'-41'!B10+'-42'!B10</f>
        <v>73453</v>
      </c>
      <c r="C11" s="26">
        <f t="shared" si="1"/>
        <v>72214</v>
      </c>
      <c r="D11" s="26">
        <f t="shared" si="2"/>
        <v>72214</v>
      </c>
      <c r="E11" s="27">
        <v>35614</v>
      </c>
      <c r="F11" s="27">
        <v>36600</v>
      </c>
      <c r="G11" s="28"/>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s="3" customFormat="1" ht="14.25"/>
    <row r="13" spans="1:256" s="3" customFormat="1" ht="14.25"/>
    <row r="14" spans="1:256" s="3" customFormat="1" ht="14.25"/>
    <row r="15" spans="1:256" s="3" customFormat="1" ht="14.25"/>
    <row r="16" spans="1:256" s="3" customFormat="1" ht="14.25"/>
    <row r="17" s="3" customFormat="1" ht="14.25"/>
    <row r="18" s="3" customFormat="1" ht="14.25"/>
    <row r="19" s="3" customFormat="1" ht="14.25"/>
    <row r="20" s="3" customFormat="1" ht="14.25"/>
    <row r="21" s="3" customFormat="1" ht="14.25"/>
    <row r="22" s="3" customFormat="1" ht="14.25"/>
    <row r="23" s="3" customFormat="1" ht="14.25"/>
    <row r="24" s="3" customFormat="1" ht="14.25"/>
    <row r="25" s="3" customFormat="1" ht="14.25"/>
    <row r="26" s="3" customFormat="1" ht="14.25"/>
    <row r="27" s="3" customFormat="1" ht="14.25"/>
    <row r="28" s="3" customFormat="1" ht="14.25"/>
    <row r="29" s="3" customFormat="1" ht="14.25"/>
    <row r="30" s="3" customFormat="1" ht="14.25"/>
    <row r="31" s="3" customFormat="1" ht="14.25"/>
    <row r="32" s="3" customFormat="1" ht="28.5" customHeight="1"/>
    <row r="33" s="3" customFormat="1" ht="28.5" customHeight="1"/>
  </sheetData>
  <mergeCells count="6">
    <mergeCell ref="A1:G1"/>
    <mergeCell ref="D3:F3"/>
    <mergeCell ref="A3:A4"/>
    <mergeCell ref="B3:B4"/>
    <mergeCell ref="C3:C4"/>
    <mergeCell ref="G3:G4"/>
  </mergeCells>
  <phoneticPr fontId="54" type="noConversion"/>
  <printOptions horizontalCentered="1"/>
  <pageMargins left="0.98402777777777795" right="0.78680555555555598" top="0.78680555555555598" bottom="0.78680555555555598" header="0.51180555555555596" footer="0.51180555555555596"/>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1"/>
  <sheetViews>
    <sheetView workbookViewId="0">
      <selection activeCell="N16" sqref="N16"/>
    </sheetView>
  </sheetViews>
  <sheetFormatPr defaultColWidth="9" defaultRowHeight="14.25"/>
  <cols>
    <col min="1" max="1" width="20.75" style="3" customWidth="1"/>
    <col min="2" max="3" width="19.5" style="3" customWidth="1"/>
    <col min="4" max="4" width="15.125" style="3" customWidth="1"/>
    <col min="5" max="16384" width="9" style="3"/>
  </cols>
  <sheetData>
    <row r="1" spans="1:4" s="1" customFormat="1" ht="43.5" customHeight="1">
      <c r="A1" s="372" t="s">
        <v>1782</v>
      </c>
      <c r="B1" s="372"/>
      <c r="C1" s="372"/>
      <c r="D1" s="372"/>
    </row>
    <row r="2" spans="1:4" s="2" customFormat="1" ht="26.25" customHeight="1">
      <c r="A2" s="4" t="s">
        <v>1783</v>
      </c>
      <c r="B2" s="5"/>
      <c r="C2" s="6"/>
      <c r="D2" s="7" t="s">
        <v>86</v>
      </c>
    </row>
    <row r="3" spans="1:4" ht="48" customHeight="1">
      <c r="A3" s="8" t="s">
        <v>1770</v>
      </c>
      <c r="B3" s="8" t="s">
        <v>1784</v>
      </c>
      <c r="C3" s="8" t="s">
        <v>1785</v>
      </c>
      <c r="D3" s="8" t="s">
        <v>1786</v>
      </c>
    </row>
    <row r="4" spans="1:4" ht="42" customHeight="1">
      <c r="A4" s="18" t="s">
        <v>1787</v>
      </c>
      <c r="B4" s="12">
        <f>SUM(B5:B10)</f>
        <v>949839</v>
      </c>
      <c r="C4" s="12">
        <f>SUM(C5:C10)</f>
        <v>914192</v>
      </c>
      <c r="D4" s="16"/>
    </row>
    <row r="5" spans="1:4" ht="42" customHeight="1">
      <c r="A5" s="18" t="s">
        <v>1286</v>
      </c>
      <c r="B5" s="19">
        <v>539143</v>
      </c>
      <c r="C5" s="19">
        <v>522251</v>
      </c>
      <c r="D5" s="16"/>
    </row>
    <row r="6" spans="1:4" ht="42" customHeight="1">
      <c r="A6" s="18" t="s">
        <v>1778</v>
      </c>
      <c r="B6" s="19">
        <v>122725</v>
      </c>
      <c r="C6" s="19">
        <v>132245</v>
      </c>
      <c r="D6" s="16"/>
    </row>
    <row r="7" spans="1:4" ht="42" customHeight="1">
      <c r="A7" s="18" t="s">
        <v>1461</v>
      </c>
      <c r="B7" s="19">
        <v>170683</v>
      </c>
      <c r="C7" s="19">
        <v>153904</v>
      </c>
      <c r="D7" s="16"/>
    </row>
    <row r="8" spans="1:4" ht="42" customHeight="1">
      <c r="A8" s="18" t="s">
        <v>1779</v>
      </c>
      <c r="B8" s="19">
        <v>24187</v>
      </c>
      <c r="C8" s="19">
        <v>24021</v>
      </c>
      <c r="D8" s="16"/>
    </row>
    <row r="9" spans="1:4" ht="42" customHeight="1">
      <c r="A9" s="18" t="s">
        <v>1780</v>
      </c>
      <c r="B9" s="19">
        <v>56248</v>
      </c>
      <c r="C9" s="19">
        <v>46157</v>
      </c>
      <c r="D9" s="16"/>
    </row>
    <row r="10" spans="1:4" ht="42" customHeight="1">
      <c r="A10" s="14" t="s">
        <v>1781</v>
      </c>
      <c r="B10" s="19">
        <v>36853</v>
      </c>
      <c r="C10" s="19">
        <v>35614</v>
      </c>
      <c r="D10" s="16"/>
    </row>
    <row r="11" spans="1:4" ht="64.5" customHeight="1"/>
  </sheetData>
  <mergeCells count="1">
    <mergeCell ref="A1:D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2"/>
  <sheetViews>
    <sheetView workbookViewId="0">
      <selection activeCell="E5" sqref="E5"/>
    </sheetView>
  </sheetViews>
  <sheetFormatPr defaultColWidth="9" defaultRowHeight="14.25"/>
  <cols>
    <col min="1" max="1" width="20.75" style="3" customWidth="1"/>
    <col min="2" max="3" width="19.375" style="3" customWidth="1"/>
    <col min="4" max="4" width="15.125" style="3" customWidth="1"/>
    <col min="5" max="16384" width="9" style="3"/>
  </cols>
  <sheetData>
    <row r="1" spans="1:11" s="1" customFormat="1" ht="43.5" customHeight="1">
      <c r="A1" s="372" t="s">
        <v>1788</v>
      </c>
      <c r="B1" s="372"/>
      <c r="C1" s="372"/>
      <c r="D1" s="372"/>
    </row>
    <row r="2" spans="1:11" s="2" customFormat="1" ht="26.25" customHeight="1">
      <c r="A2" s="4" t="s">
        <v>1789</v>
      </c>
      <c r="B2" s="5"/>
      <c r="C2" s="6"/>
      <c r="D2" s="7" t="s">
        <v>86</v>
      </c>
    </row>
    <row r="3" spans="1:11" ht="48" customHeight="1">
      <c r="A3" s="8" t="s">
        <v>1770</v>
      </c>
      <c r="B3" s="9" t="s">
        <v>1790</v>
      </c>
      <c r="C3" s="8" t="s">
        <v>1791</v>
      </c>
      <c r="D3" s="8" t="s">
        <v>1786</v>
      </c>
    </row>
    <row r="4" spans="1:11" ht="42" customHeight="1">
      <c r="A4" s="10" t="s">
        <v>1777</v>
      </c>
      <c r="B4" s="11">
        <f>SUM(B5:B10)</f>
        <v>484900</v>
      </c>
      <c r="C4" s="12">
        <f>SUM(C5:C10)</f>
        <v>433981</v>
      </c>
      <c r="D4" s="13"/>
    </row>
    <row r="5" spans="1:11" ht="42" customHeight="1">
      <c r="A5" s="14" t="s">
        <v>1286</v>
      </c>
      <c r="B5" s="15">
        <v>262800</v>
      </c>
      <c r="C5" s="16">
        <v>233893</v>
      </c>
      <c r="D5" s="13"/>
    </row>
    <row r="6" spans="1:11" ht="42" customHeight="1">
      <c r="A6" s="14" t="s">
        <v>1778</v>
      </c>
      <c r="B6" s="15">
        <v>71100</v>
      </c>
      <c r="C6" s="16">
        <v>64200</v>
      </c>
      <c r="D6" s="13"/>
    </row>
    <row r="7" spans="1:11" ht="42" customHeight="1">
      <c r="A7" s="14" t="s">
        <v>1461</v>
      </c>
      <c r="B7" s="15">
        <v>27500</v>
      </c>
      <c r="C7" s="16">
        <v>22500</v>
      </c>
      <c r="D7" s="13"/>
    </row>
    <row r="8" spans="1:11" ht="42" customHeight="1">
      <c r="A8" s="14" t="s">
        <v>1779</v>
      </c>
      <c r="B8" s="15">
        <v>71700</v>
      </c>
      <c r="C8" s="16">
        <v>62700</v>
      </c>
      <c r="D8" s="13"/>
    </row>
    <row r="9" spans="1:11" ht="42" customHeight="1">
      <c r="A9" s="14" t="s">
        <v>1780</v>
      </c>
      <c r="B9" s="15">
        <v>15200</v>
      </c>
      <c r="C9" s="16">
        <v>14088</v>
      </c>
      <c r="D9" s="13"/>
    </row>
    <row r="10" spans="1:11" ht="42" customHeight="1">
      <c r="A10" s="14" t="s">
        <v>1781</v>
      </c>
      <c r="B10" s="15">
        <v>36600</v>
      </c>
      <c r="C10" s="16">
        <v>36600</v>
      </c>
      <c r="D10" s="13"/>
    </row>
    <row r="12" spans="1:11">
      <c r="K12" s="17"/>
    </row>
  </sheetData>
  <mergeCells count="1">
    <mergeCell ref="A1:D1"/>
  </mergeCells>
  <phoneticPr fontId="54" type="noConversion"/>
  <printOptions horizontalCentered="1"/>
  <pageMargins left="0.78680555555555598" right="0.78680555555555598" top="0.78680555555555598" bottom="0.98402777777777795" header="0.51180555555555596" footer="0.5118055555555559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8</vt:i4>
      </vt:variant>
    </vt:vector>
  </HeadingPairs>
  <TitlesOfParts>
    <vt:vector size="52"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'-1'!Print_Titles</vt:lpstr>
      <vt:lpstr>'-10'!Print_Titles</vt:lpstr>
      <vt:lpstr>'-11'!Print_Titles</vt:lpstr>
      <vt:lpstr>'-13'!Print_Titles</vt:lpstr>
      <vt:lpstr>'-3'!Print_Titles</vt:lpstr>
      <vt:lpstr>'-5'!Print_Titles</vt:lpstr>
      <vt:lpstr>'-7'!Print_Titles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王鑫</dc:creator>
  <cp:lastModifiedBy>Administrator</cp:lastModifiedBy>
  <cp:lastPrinted>2021-01-28T09:21:25Z</cp:lastPrinted>
  <dcterms:created xsi:type="dcterms:W3CDTF">2021-01-25T19:46:00Z</dcterms:created>
  <dcterms:modified xsi:type="dcterms:W3CDTF">2021-01-28T10:38:41Z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